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0" sheetId="1" r:id="rId4"/>
    <sheet state="visible" name="Página1" sheetId="2" r:id="rId5"/>
    <sheet state="visible" name="Página2" sheetId="3" r:id="rId6"/>
    <sheet state="visible" name="Página3" sheetId="4" r:id="rId7"/>
    <sheet state="visible" name="Página4" sheetId="5" r:id="rId8"/>
    <sheet state="visible" name="Página5" sheetId="6" r:id="rId9"/>
    <sheet state="visible" name="Página6" sheetId="7" r:id="rId10"/>
    <sheet state="visible" name="Página7" sheetId="8" r:id="rId11"/>
    <sheet state="visible" name="Página8" sheetId="9" r:id="rId12"/>
    <sheet state="visible" name="Página9" sheetId="10" r:id="rId13"/>
    <sheet state="visible" name="Página10" sheetId="11" r:id="rId14"/>
    <sheet state="visible" name="Página11" sheetId="12" r:id="rId15"/>
    <sheet state="visible" name="Página12" sheetId="13" r:id="rId16"/>
    <sheet state="visible" name="Página13" sheetId="14" r:id="rId17"/>
    <sheet state="visible" name="Página14" sheetId="15" r:id="rId18"/>
    <sheet state="visible" name="Página15" sheetId="16" r:id="rId19"/>
    <sheet state="visible" name="Página16" sheetId="17" r:id="rId20"/>
    <sheet state="visible" name="Página17" sheetId="18" r:id="rId21"/>
    <sheet state="visible" name="Página18" sheetId="19" r:id="rId22"/>
    <sheet state="visible" name="Página19" sheetId="20" r:id="rId23"/>
    <sheet state="visible" name="Página20" sheetId="21" r:id="rId24"/>
    <sheet state="visible" name="Página21" sheetId="22" r:id="rId25"/>
    <sheet state="visible" name="Página22" sheetId="23" r:id="rId26"/>
    <sheet state="visible" name="Página23" sheetId="24" r:id="rId27"/>
    <sheet state="visible" name="Página24" sheetId="25" r:id="rId28"/>
    <sheet state="visible" name="Página25" sheetId="26" r:id="rId29"/>
    <sheet state="visible" name="Página26" sheetId="27" r:id="rId30"/>
    <sheet state="visible" name="Página27" sheetId="28" r:id="rId31"/>
    <sheet state="visible" name="Página28" sheetId="29" r:id="rId32"/>
    <sheet state="visible" name="Página29" sheetId="30" r:id="rId33"/>
    <sheet state="visible" name="Página30" sheetId="31" r:id="rId34"/>
    <sheet state="visible" name="Página31" sheetId="32" r:id="rId35"/>
    <sheet state="visible" name="Página32" sheetId="33" r:id="rId36"/>
    <sheet state="visible" name="Página33" sheetId="34" r:id="rId37"/>
    <sheet state="visible" name="Página34" sheetId="35" r:id="rId38"/>
    <sheet state="visible" name="Página35" sheetId="36" r:id="rId39"/>
    <sheet state="visible" name="Página36" sheetId="37" r:id="rId40"/>
    <sheet state="visible" name="Página37" sheetId="38" r:id="rId41"/>
    <sheet state="visible" name="Página38" sheetId="39" r:id="rId42"/>
    <sheet state="visible" name="Página39" sheetId="40" r:id="rId43"/>
    <sheet state="visible" name="Página40" sheetId="41" r:id="rId44"/>
  </sheets>
  <definedNames>
    <definedName hidden="1" localSheetId="39" name="_xlnm._FilterDatabase">'Página39'!$A$1:$H$277</definedName>
    <definedName hidden="1" localSheetId="40" name="_xlnm._FilterDatabase">'Página40'!$A$1:$E$16</definedName>
  </definedNames>
  <calcPr/>
  <pivotCaches>
    <pivotCache cacheId="0" r:id="rId45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https://www.planalto.gov.br/ccivil_03/_ato2004-2006/2005/lei/l11143.htm</t>
      </text>
    </comment>
    <comment authorId="0" ref="D2">
      <text>
        <t xml:space="preserve">https://www.camara.leg.br/noticias/133131-PLENARIO-APROVA-SUBSIDIOS-DE-R$-25,7-MIL-PARA-MINISTROS-DO-STF</t>
      </text>
    </comment>
    <comment authorId="0" ref="E2">
      <text>
        <t xml:space="preserve">https://www.planalto.gov.br/ccivil_03/_ato2007-2010/2009/lei/L12041.htm</t>
      </text>
    </comment>
    <comment authorId="0" ref="G2">
      <text>
        <t xml:space="preserve">https://www.planalto.gov.br/ccivil_03/_Ato2011-2014/2012/Lei/L12771.htm</t>
      </text>
    </comment>
    <comment authorId="0" ref="H2">
      <text>
        <t xml:space="preserve">https://www.planalto.gov.br/ccivil_03/_Ato2011-2014/2012/Lei/L12771.htm</t>
      </text>
    </comment>
    <comment authorId="0" ref="I2">
      <text>
        <t xml:space="preserve">https://www.planalto.gov.br/ccivil_03/_ato2015-2018/2015/lei/l13091.htm</t>
      </text>
    </comment>
    <comment authorId="0" ref="J2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2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O2">
      <text>
        <t xml:space="preserve">https://www.planalto.gov.br/ccivil_03/_ato2015-2018/2018/lei/l13752.htm</t>
      </text>
    </comment>
    <comment authorId="0" ref="P2">
      <text>
        <t xml:space="preserve">https://www12.senado.leg.br/noticias/materias/2018/11/26/sancionado-reajuste-de-ministros-do-stf</t>
      </text>
    </comment>
    <comment authorId="0" ref="U2">
      <text>
        <t xml:space="preserve">https://www.planalto.gov.br/ccivil_03/_ato2023-2026/2023/lei/L14520.htm</t>
      </text>
    </comment>
    <comment authorId="0" ref="B3">
      <text>
        <t xml:space="preserve">https://www.planalto.gov.br/ccivil_03/_ato2007-2010/2008/lei/anexos/ANL11890.htm#anexoiii</t>
      </text>
    </comment>
    <comment authorId="0" ref="G3">
      <text>
        <t xml:space="preserve">https://www.planalto.gov.br/ccivil_03/_Ato2004-2006/2006/Lei/L11358.htm#anexoi.</t>
      </text>
    </comment>
    <comment authorId="0" ref="H3">
      <text>
        <t xml:space="preserve">https://www.planalto.gov.br/ccivil_03/_Ato2011-2014/2012/Lei/L12775.htm#anexoxii</t>
      </text>
    </comment>
    <comment authorId="0" ref="J3">
      <text>
        <t xml:space="preserve">https://www.planalto.gov.br/ccivil_03/_ato2015-2018/2016/lei/l13327.htm#anexoxxxv</t>
      </text>
    </comment>
    <comment authorId="0" ref="M3">
      <text>
        <t xml:space="preserve">https://app.powerbi.com/view?r=eyJrIjoiODFiZWRlNzgtNzEzZC00OGEyLTlkZjQtZGUxNTgxZDE1MzEyIiwidCI6IjRkNzlkMzdhLTFlNGUtNGEzOS05ZmRlLWYxNjMxY2I2MDdkNCJ9</t>
      </text>
    </comment>
    <comment authorId="0" ref="B4">
      <text>
        <t xml:space="preserve">https://www.planalto.gov.br/ccivil_03/_ato2007-2010/2008/lei/anexos/ANL11890.htm#anexoii</t>
      </text>
    </comment>
    <comment authorId="0" ref="G4">
      <text>
        <t xml:space="preserve">https://www.planalto.gov.br/ccivil_03/_Ato2004-2006/2004/Lei/L10.910.htm#anexoiv.</t>
      </text>
    </comment>
    <comment authorId="0" ref="L4">
      <text>
        <t xml:space="preserve">https://www.planalto.gov.br/ccivil_03/_ato2015-2018/2017/lei/l13464.htm#anexo7a</t>
      </text>
    </comment>
    <comment authorId="0" ref="M4">
      <text>
        <t xml:space="preserve">https://www.planalto.gov.br/ccivil_03/_Ato2004-2006/2004/Lei/L10.910.htm#anexo4</t>
      </text>
    </comment>
    <comment authorId="0" ref="B5">
      <text>
        <t xml:space="preserve">https://www.planalto.gov.br/ccivil_03/_Ato2007-2010/2007/Lei/L11538.htm#anexo</t>
      </text>
    </comment>
    <comment authorId="0" ref="C5">
      <text>
        <t xml:space="preserve">https://www.planalto.gov.br/ccivil_03/_Ato2004-2006/2006/Lei/L11358.htm#anexo2.</t>
      </text>
    </comment>
    <comment authorId="0" ref="G5">
      <text>
        <t xml:space="preserve">https://www.planalto.gov.br/ccivil_03/_Ato2011-2014/2012/Lei/L12775.htm#anexoviii</t>
      </text>
    </comment>
    <comment authorId="0" ref="H5">
      <text>
        <t xml:space="preserve">https://www.planalto.gov.br/ccivil_03/_Ato2004-2006/2006/Lei/L11358.htm#anexoii.qi</t>
      </text>
    </comment>
    <comment authorId="0" ref="M5">
      <text>
        <t xml:space="preserve">https://www.planalto.gov.br/ccivil_03/_ato2015-2018/2016/lei/l13371.htm#anexo1</t>
      </text>
    </comment>
    <comment authorId="0" ref="B6">
      <text>
        <t xml:space="preserve">https://www.planalto.gov.br/ccivil_03/_ato2007-2010/2008/lei/anexos/ANL11890.htm#anexoii</t>
      </text>
    </comment>
    <comment authorId="0" ref="G6">
      <text>
        <t xml:space="preserve">https://www.planalto.gov.br/ccivil_03/_Ato2004-2006/2004/Lei/L10.910.htm#anexoiv.</t>
      </text>
    </comment>
    <comment authorId="0" ref="L6">
      <text>
        <t xml:space="preserve">https://www.planalto.gov.br/ccivil_03/_ato2015-2018/2017/lei/l13464.htm#anexo7c</t>
      </text>
    </comment>
    <comment authorId="0" ref="M6">
      <text>
        <t xml:space="preserve">https://www.planalto.gov.br/ccivil_03/_Ato2004-2006/2004/Lei/L10.910.htm#anexo4</t>
      </text>
    </comment>
    <comment authorId="0" ref="B7">
      <text>
        <t xml:space="preserve">https://www.planalto.gov.br/ccivil_03/_ato2007-2010/2008/lei/anexos/ANL11890.htm#anexoiv</t>
      </text>
    </comment>
    <comment authorId="0" ref="G7">
      <text>
        <t xml:space="preserve">https://www.planalto.gov.br/ccivil_03/_Ato2011-2014/2012/Lei/L12775.htm#anexoiv</t>
      </text>
    </comment>
    <comment authorId="0" ref="J7">
      <text>
        <t xml:space="preserve">https://www.planalto.gov.br/ccivil_03/_ato2015-2018/2016/lei/l13327.htm#anexoi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https://www.planalto.gov.br/ccivil_03/_ato2004-2006/2005/lei/l11143.htm</t>
      </text>
    </comment>
    <comment authorId="0" ref="D2">
      <text>
        <t xml:space="preserve">https://www.camara.leg.br/noticias/133131-PLENARIO-APROVA-SUBSIDIOS-DE-R$-25,7-MIL-PARA-MINISTROS-DO-STF</t>
      </text>
    </comment>
    <comment authorId="0" ref="E2">
      <text>
        <t xml:space="preserve">https://www.planalto.gov.br/ccivil_03/_ato2007-2010/2009/lei/L12041.htm</t>
      </text>
    </comment>
    <comment authorId="0" ref="G2">
      <text>
        <t xml:space="preserve">https://www.planalto.gov.br/ccivil_03/_Ato2011-2014/2012/Lei/L12771.htm</t>
      </text>
    </comment>
    <comment authorId="0" ref="H2">
      <text>
        <t xml:space="preserve">https://www.planalto.gov.br/ccivil_03/_Ato2011-2014/2012/Lei/L12771.htm</t>
      </text>
    </comment>
    <comment authorId="0" ref="I2">
      <text>
        <t xml:space="preserve">https://www.planalto.gov.br/ccivil_03/_ato2015-2018/2015/lei/l13091.htm</t>
      </text>
    </comment>
    <comment authorId="0" ref="J2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2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O2">
      <text>
        <t xml:space="preserve">https://www.planalto.gov.br/ccivil_03/_ato2015-2018/2018/lei/l13752.htm</t>
      </text>
    </comment>
    <comment authorId="0" ref="P2">
      <text>
        <t xml:space="preserve">https://www12.senado.leg.br/noticias/materias/2018/11/26/sancionado-reajuste-de-ministros-do-stf</t>
      </text>
    </comment>
    <comment authorId="0" ref="U2">
      <text>
        <t xml:space="preserve">https://www.planalto.gov.br/ccivil_03/_ato2023-2026/2023/lei/L14520.htm</t>
      </text>
    </comment>
    <comment authorId="0" ref="B3">
      <text>
        <t xml:space="preserve">https://www.planalto.gov.br/ccivil_03/_ato2004-2006/2005/lei/l11143.htm</t>
      </text>
    </comment>
    <comment authorId="0" ref="D3">
      <text>
        <t xml:space="preserve">https://www.camara.leg.br/noticias/133131-PLENARIO-APROVA-SUBSIDIOS-DE-R$-25,7-MIL-PARA-MINISTROS-DO-STF</t>
      </text>
    </comment>
    <comment authorId="0" ref="E3">
      <text>
        <t xml:space="preserve">https://www.planalto.gov.br/ccivil_03/_ato2007-2010/2009/lei/L12041.htm</t>
      </text>
    </comment>
    <comment authorId="0" ref="G3">
      <text>
        <t xml:space="preserve">https://www.planalto.gov.br/ccivil_03/_Ato2011-2014/2012/Lei/L12771.htm</t>
      </text>
    </comment>
    <comment authorId="0" ref="H3">
      <text>
        <t xml:space="preserve">https://www.planalto.gov.br/ccivil_03/_Ato2011-2014/2012/Lei/L12771.htm</t>
      </text>
    </comment>
    <comment authorId="0" ref="I3">
      <text>
        <t xml:space="preserve">https://www.planalto.gov.br/ccivil_03/_ato2015-2018/2015/lei/l13091.htm</t>
      </text>
    </comment>
    <comment authorId="0" ref="J3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3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O3">
      <text>
        <t xml:space="preserve">https://www.planalto.gov.br/ccivil_03/_ato2015-2018/2018/lei/l13752.htm</t>
      </text>
    </comment>
    <comment authorId="0" ref="P3">
      <text>
        <t xml:space="preserve">https://www12.senado.leg.br/noticias/materias/2018/11/26/sancionado-reajuste-de-ministros-do-stf</t>
      </text>
    </comment>
    <comment authorId="0" ref="U3">
      <text>
        <t xml:space="preserve">https://www.planalto.gov.br/ccivil_03/_ato2023-2026/2023/lei/L14520.htm</t>
      </text>
    </comment>
    <comment authorId="0" ref="B4">
      <text>
        <t xml:space="preserve">https://www.planalto.gov.br/ccivil_03/_ato2004-2006/2005/lei/l11143.htm</t>
      </text>
    </comment>
    <comment authorId="0" ref="D4">
      <text>
        <t xml:space="preserve">https://www.camara.leg.br/noticias/133131-PLENARIO-APROVA-SUBSIDIOS-DE-R$-25,7-MIL-PARA-MINISTROS-DO-STF</t>
      </text>
    </comment>
    <comment authorId="0" ref="E4">
      <text>
        <t xml:space="preserve">https://www.planalto.gov.br/ccivil_03/_ato2007-2010/2009/lei/L12041.htm</t>
      </text>
    </comment>
    <comment authorId="0" ref="G4">
      <text>
        <t xml:space="preserve">https://www.planalto.gov.br/ccivil_03/_Ato2011-2014/2012/Lei/L12771.htm</t>
      </text>
    </comment>
    <comment authorId="0" ref="H4">
      <text>
        <t xml:space="preserve">https://www.planalto.gov.br/ccivil_03/_Ato2011-2014/2012/Lei/L12771.htm</t>
      </text>
    </comment>
    <comment authorId="0" ref="I4">
      <text>
        <t xml:space="preserve">https://www.planalto.gov.br/ccivil_03/_ato2015-2018/2015/lei/l13091.htm</t>
      </text>
    </comment>
    <comment authorId="0" ref="J4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4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O4">
      <text>
        <t xml:space="preserve">https://www.planalto.gov.br/ccivil_03/_ato2015-2018/2018/lei/l13752.htm</t>
      </text>
    </comment>
    <comment authorId="0" ref="P4">
      <text>
        <t xml:space="preserve">https://www12.senado.leg.br/noticias/materias/2018/11/26/sancionado-reajuste-de-ministros-do-stf</t>
      </text>
    </comment>
    <comment authorId="0" ref="U4">
      <text>
        <t xml:space="preserve">https://www.planalto.gov.br/ccivil_03/_ato2023-2026/2023/lei/L14520.htm</t>
      </text>
    </comment>
    <comment authorId="0" ref="B5">
      <text>
        <t xml:space="preserve">https://www.planalto.gov.br/ccivil_03/_ato2004-2006/2005/lei/l11143.htm</t>
      </text>
    </comment>
    <comment authorId="0" ref="D5">
      <text>
        <t xml:space="preserve">https://www.camara.leg.br/noticias/133131-PLENARIO-APROVA-SUBSIDIOS-DE-R$-25,7-MIL-PARA-MINISTROS-DO-STF</t>
      </text>
    </comment>
    <comment authorId="0" ref="E5">
      <text>
        <t xml:space="preserve">https://www.planalto.gov.br/ccivil_03/_ato2007-2010/2009/lei/L12041.htm</t>
      </text>
    </comment>
    <comment authorId="0" ref="G5">
      <text>
        <t xml:space="preserve">https://www.planalto.gov.br/ccivil_03/_Ato2011-2014/2012/Lei/L12771.htm</t>
      </text>
    </comment>
    <comment authorId="0" ref="H5">
      <text>
        <t xml:space="preserve">https://www.planalto.gov.br/ccivil_03/_Ato2011-2014/2012/Lei/L12771.htm</t>
      </text>
    </comment>
    <comment authorId="0" ref="I5">
      <text>
        <t xml:space="preserve">https://www.planalto.gov.br/ccivil_03/_ato2015-2018/2015/lei/l13091.htm</t>
      </text>
    </comment>
    <comment authorId="0" ref="J5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5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O5">
      <text>
        <t xml:space="preserve">https://www.planalto.gov.br/ccivil_03/_ato2015-2018/2018/lei/l13752.htm</t>
      </text>
    </comment>
    <comment authorId="0" ref="P5">
      <text>
        <t xml:space="preserve">https://www12.senado.leg.br/noticias/materias/2018/11/26/sancionado-reajuste-de-ministros-do-stf</t>
      </text>
    </comment>
    <comment authorId="0" ref="U5">
      <text>
        <t xml:space="preserve">https://www.planalto.gov.br/ccivil_03/_ato2023-2026/2023/lei/L14520.htm</t>
      </text>
    </comment>
    <comment authorId="0" ref="B6">
      <text>
        <t xml:space="preserve">https://www.planalto.gov.br/ccivil_03/_ato2004-2006/2005/lei/l11143.htm</t>
      </text>
    </comment>
    <comment authorId="0" ref="D6">
      <text>
        <t xml:space="preserve">https://www.camara.leg.br/noticias/133131-PLENARIO-APROVA-SUBSIDIOS-DE-R$-25,7-MIL-PARA-MINISTROS-DO-STF</t>
      </text>
    </comment>
    <comment authorId="0" ref="E6">
      <text>
        <t xml:space="preserve">https://www.planalto.gov.br/ccivil_03/_ato2007-2010/2009/lei/L12041.htm</t>
      </text>
    </comment>
    <comment authorId="0" ref="G6">
      <text>
        <t xml:space="preserve">https://www.planalto.gov.br/ccivil_03/_Ato2011-2014/2012/Lei/L12771.htm</t>
      </text>
    </comment>
    <comment authorId="0" ref="H6">
      <text>
        <t xml:space="preserve">https://www.planalto.gov.br/ccivil_03/_Ato2011-2014/2012/Lei/L12771.htm</t>
      </text>
    </comment>
    <comment authorId="0" ref="I6">
      <text>
        <t xml:space="preserve">https://www.planalto.gov.br/ccivil_03/_ato2015-2018/2015/lei/l13091.htm</t>
      </text>
    </comment>
    <comment authorId="0" ref="J6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6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L6">
      <text>
        <t xml:space="preserve">https://www.planalto.gov.br/ccivil_03/_ato2015-2018/2017/lei/l13464.htm#anexo7c</t>
      </text>
    </comment>
    <comment authorId="0" ref="M6">
      <text>
        <t xml:space="preserve">https://www.planalto.gov.br/ccivil_03/_Ato2004-2006/2004/Lei/L10.910.htm#anexo4</t>
      </text>
    </comment>
    <comment authorId="0" ref="O6">
      <text>
        <t xml:space="preserve">https://www.planalto.gov.br/ccivil_03/_ato2015-2018/2018/lei/l13752.htm</t>
      </text>
    </comment>
    <comment authorId="0" ref="P6">
      <text>
        <t xml:space="preserve">https://www12.senado.leg.br/noticias/materias/2018/11/26/sancionado-reajuste-de-ministros-do-stf</t>
      </text>
    </comment>
    <comment authorId="0" ref="U6">
      <text>
        <t xml:space="preserve">https://www.planalto.gov.br/ccivil_03/_ato2023-2026/2023/lei/L14520.htm</t>
      </text>
    </comment>
    <comment authorId="0" ref="B7">
      <text>
        <t xml:space="preserve">https://www.planalto.gov.br/ccivil_03/_ato2004-2006/2005/lei/l11143.htm</t>
      </text>
    </comment>
    <comment authorId="0" ref="D7">
      <text>
        <t xml:space="preserve">https://www.camara.leg.br/noticias/133131-PLENARIO-APROVA-SUBSIDIOS-DE-R$-25,7-MIL-PARA-MINISTROS-DO-STF</t>
      </text>
    </comment>
    <comment authorId="0" ref="E7">
      <text>
        <t xml:space="preserve">https://www.planalto.gov.br/ccivil_03/_ato2007-2010/2009/lei/L12041.htm</t>
      </text>
    </comment>
    <comment authorId="0" ref="G7">
      <text>
        <t xml:space="preserve">https://www.planalto.gov.br/ccivil_03/_Ato2011-2014/2012/Lei/L12771.htm</t>
      </text>
    </comment>
    <comment authorId="0" ref="H7">
      <text>
        <t xml:space="preserve">https://www.planalto.gov.br/ccivil_03/_Ato2011-2014/2012/Lei/L12771.htm</t>
      </text>
    </comment>
    <comment authorId="0" ref="I7">
      <text>
        <t xml:space="preserve">https://www.planalto.gov.br/ccivil_03/_ato2015-2018/2015/lei/l13091.htm</t>
      </text>
    </comment>
    <comment authorId="0" ref="J7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K7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O7">
      <text>
        <t xml:space="preserve">https://www.planalto.gov.br/ccivil_03/_ato2015-2018/2018/lei/l13752.htm</t>
      </text>
    </comment>
    <comment authorId="0" ref="P7">
      <text>
        <t xml:space="preserve">https://www12.senado.leg.br/noticias/materias/2018/11/26/sancionado-reajuste-de-ministros-do-stf</t>
      </text>
    </comment>
    <comment authorId="0" ref="U7">
      <text>
        <t xml:space="preserve">https://www.planalto.gov.br/ccivil_03/_ato2023-2026/2023/lei/L14520.htm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https://www.planalto.gov.br/ccivil_03/_ato2004-2006/2005/lei/l11143.htm</t>
      </text>
    </comment>
    <comment authorId="0" ref="C2">
      <text>
        <t xml:space="preserve">https://www.planalto.gov.br/ccivil_03/_ato2004-2006/2005/lei/l11143.htm</t>
      </text>
    </comment>
    <comment authorId="0" ref="D2">
      <text>
        <t xml:space="preserve">https://www.planalto.gov.br/ccivil_03/_ato2004-2006/2005/lei/l11143.htm</t>
      </text>
    </comment>
    <comment authorId="0" ref="E2">
      <text>
        <t xml:space="preserve">https://www.planalto.gov.br/ccivil_03/_ato2004-2006/2005/lei/l11143.htm</t>
      </text>
    </comment>
    <comment authorId="0" ref="F2">
      <text>
        <t xml:space="preserve">https://www.planalto.gov.br/ccivil_03/_ato2004-2006/2005/lei/l11143.htm</t>
      </text>
    </comment>
    <comment authorId="0" ref="G2">
      <text>
        <t xml:space="preserve">https://www.planalto.gov.br/ccivil_03/_ato2004-2006/2005/lei/l11143.htm</t>
      </text>
    </comment>
    <comment authorId="0" ref="B4">
      <text>
        <t xml:space="preserve">https://www.camara.leg.br/noticias/133131-PLENARIO-APROVA-SUBSIDIOS-DE-R$-25,7-MIL-PARA-MINISTROS-DO-STF</t>
      </text>
    </comment>
    <comment authorId="0" ref="C4">
      <text>
        <t xml:space="preserve">https://www.camara.leg.br/noticias/133131-PLENARIO-APROVA-SUBSIDIOS-DE-R$-25,7-MIL-PARA-MINISTROS-DO-STF</t>
      </text>
    </comment>
    <comment authorId="0" ref="D4">
      <text>
        <t xml:space="preserve">https://www.camara.leg.br/noticias/133131-PLENARIO-APROVA-SUBSIDIOS-DE-R$-25,7-MIL-PARA-MINISTROS-DO-STF</t>
      </text>
    </comment>
    <comment authorId="0" ref="E4">
      <text>
        <t xml:space="preserve">https://www.camara.leg.br/noticias/133131-PLENARIO-APROVA-SUBSIDIOS-DE-R$-25,7-MIL-PARA-MINISTROS-DO-STF</t>
      </text>
    </comment>
    <comment authorId="0" ref="F4">
      <text>
        <t xml:space="preserve">https://www.camara.leg.br/noticias/133131-PLENARIO-APROVA-SUBSIDIOS-DE-R$-25,7-MIL-PARA-MINISTROS-DO-STF</t>
      </text>
    </comment>
    <comment authorId="0" ref="G4">
      <text>
        <t xml:space="preserve">https://www.camara.leg.br/noticias/133131-PLENARIO-APROVA-SUBSIDIOS-DE-R$-25,7-MIL-PARA-MINISTROS-DO-STF</t>
      </text>
    </comment>
    <comment authorId="0" ref="B5">
      <text>
        <t xml:space="preserve">https://www.planalto.gov.br/ccivil_03/_ato2007-2010/2009/lei/L12041.htm</t>
      </text>
    </comment>
    <comment authorId="0" ref="C5">
      <text>
        <t xml:space="preserve">https://www.planalto.gov.br/ccivil_03/_ato2007-2010/2009/lei/L12041.htm</t>
      </text>
    </comment>
    <comment authorId="0" ref="D5">
      <text>
        <t xml:space="preserve">https://www.planalto.gov.br/ccivil_03/_ato2007-2010/2009/lei/L12041.htm</t>
      </text>
    </comment>
    <comment authorId="0" ref="E5">
      <text>
        <t xml:space="preserve">https://www.planalto.gov.br/ccivil_03/_ato2007-2010/2009/lei/L12041.htm</t>
      </text>
    </comment>
    <comment authorId="0" ref="F5">
      <text>
        <t xml:space="preserve">https://www.planalto.gov.br/ccivil_03/_ato2007-2010/2009/lei/L12041.htm</t>
      </text>
    </comment>
    <comment authorId="0" ref="G5">
      <text>
        <t xml:space="preserve">https://www.planalto.gov.br/ccivil_03/_ato2007-2010/2009/lei/L12041.htm</t>
      </text>
    </comment>
    <comment authorId="0" ref="B7">
      <text>
        <t xml:space="preserve">https://www.planalto.gov.br/ccivil_03/_Ato2011-2014/2012/Lei/L12771.htm</t>
      </text>
    </comment>
    <comment authorId="0" ref="C7">
      <text>
        <t xml:space="preserve">https://www.planalto.gov.br/ccivil_03/_Ato2011-2014/2012/Lei/L12771.htm</t>
      </text>
    </comment>
    <comment authorId="0" ref="D7">
      <text>
        <t xml:space="preserve">https://www.planalto.gov.br/ccivil_03/_Ato2011-2014/2012/Lei/L12771.htm</t>
      </text>
    </comment>
    <comment authorId="0" ref="E7">
      <text>
        <t xml:space="preserve">https://www.planalto.gov.br/ccivil_03/_Ato2011-2014/2012/Lei/L12771.htm</t>
      </text>
    </comment>
    <comment authorId="0" ref="F7">
      <text>
        <t xml:space="preserve">https://www.planalto.gov.br/ccivil_03/_Ato2011-2014/2012/Lei/L12771.htm</t>
      </text>
    </comment>
    <comment authorId="0" ref="G7">
      <text>
        <t xml:space="preserve">https://www.planalto.gov.br/ccivil_03/_Ato2011-2014/2012/Lei/L12771.htm</t>
      </text>
    </comment>
    <comment authorId="0" ref="B8">
      <text>
        <t xml:space="preserve">https://www.planalto.gov.br/ccivil_03/_Ato2011-2014/2012/Lei/L12771.htm</t>
      </text>
    </comment>
    <comment authorId="0" ref="C8">
      <text>
        <t xml:space="preserve">https://www.planalto.gov.br/ccivil_03/_Ato2011-2014/2012/Lei/L12771.htm</t>
      </text>
    </comment>
    <comment authorId="0" ref="D8">
      <text>
        <t xml:space="preserve">https://www.planalto.gov.br/ccivil_03/_Ato2011-2014/2012/Lei/L12771.htm</t>
      </text>
    </comment>
    <comment authorId="0" ref="E8">
      <text>
        <t xml:space="preserve">https://www.planalto.gov.br/ccivil_03/_Ato2011-2014/2012/Lei/L12771.htm</t>
      </text>
    </comment>
    <comment authorId="0" ref="F8">
      <text>
        <t xml:space="preserve">https://www.planalto.gov.br/ccivil_03/_Ato2011-2014/2012/Lei/L12771.htm</t>
      </text>
    </comment>
    <comment authorId="0" ref="G8">
      <text>
        <t xml:space="preserve">https://www.planalto.gov.br/ccivil_03/_Ato2011-2014/2012/Lei/L12771.htm</t>
      </text>
    </comment>
    <comment authorId="0" ref="B9">
      <text>
        <t xml:space="preserve">https://www.planalto.gov.br/ccivil_03/_ato2015-2018/2015/lei/l13091.htm</t>
      </text>
    </comment>
    <comment authorId="0" ref="C9">
      <text>
        <t xml:space="preserve">https://www.planalto.gov.br/ccivil_03/_ato2015-2018/2015/lei/l13091.htm</t>
      </text>
    </comment>
    <comment authorId="0" ref="D9">
      <text>
        <t xml:space="preserve">https://www.planalto.gov.br/ccivil_03/_ato2015-2018/2015/lei/l13091.htm</t>
      </text>
    </comment>
    <comment authorId="0" ref="E9">
      <text>
        <t xml:space="preserve">https://www.planalto.gov.br/ccivil_03/_ato2015-2018/2015/lei/l13091.htm</t>
      </text>
    </comment>
    <comment authorId="0" ref="F9">
      <text>
        <t xml:space="preserve">https://www.planalto.gov.br/ccivil_03/_ato2015-2018/2015/lei/l13091.htm</t>
      </text>
    </comment>
    <comment authorId="0" ref="G9">
      <text>
        <t xml:space="preserve">https://www.planalto.gov.br/ccivil_03/_ato2015-2018/2015/lei/l13091.htm</t>
      </text>
    </comment>
    <comment authorId="0" ref="B10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C10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D10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E10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F10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G10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B11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C11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D11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E11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F11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G11">
      <text>
        <t xml:space="preserve">https://www25.senado.leg.br/web/atividade/materias/-/materia/126084?_gl=1*1quuo1q*_ga*MTMxNjM0MzAyOS4xNzA3MTU1NjA0*_ga_CW3ZH25XMK*MTcwNzE1NTYwMy4xLjEuMTcwNzE1NjU5OS4wLjAuMA..</t>
      </text>
    </comment>
    <comment authorId="0" ref="E12">
      <text>
        <t xml:space="preserve">https://www.planalto.gov.br/ccivil_03/_ato2015-2018/2017/lei/l13464.htm#anexo7c</t>
      </text>
    </comment>
    <comment authorId="0" ref="E13">
      <text>
        <t xml:space="preserve">https://www.planalto.gov.br/ccivil_03/_Ato2004-2006/2004/Lei/L10.910.htm#anexo4</t>
      </text>
    </comment>
    <comment authorId="0" ref="B15">
      <text>
        <t xml:space="preserve">https://www.planalto.gov.br/ccivil_03/_ato2015-2018/2018/lei/l13752.htm</t>
      </text>
    </comment>
    <comment authorId="0" ref="C15">
      <text>
        <t xml:space="preserve">https://www.planalto.gov.br/ccivil_03/_ato2015-2018/2018/lei/l13752.htm</t>
      </text>
    </comment>
    <comment authorId="0" ref="D15">
      <text>
        <t xml:space="preserve">https://www.planalto.gov.br/ccivil_03/_ato2015-2018/2018/lei/l13752.htm</t>
      </text>
    </comment>
    <comment authorId="0" ref="E15">
      <text>
        <t xml:space="preserve">https://www.planalto.gov.br/ccivil_03/_ato2015-2018/2018/lei/l13752.htm</t>
      </text>
    </comment>
    <comment authorId="0" ref="F15">
      <text>
        <t xml:space="preserve">https://www.planalto.gov.br/ccivil_03/_ato2015-2018/2018/lei/l13752.htm</t>
      </text>
    </comment>
    <comment authorId="0" ref="G15">
      <text>
        <t xml:space="preserve">https://www.planalto.gov.br/ccivil_03/_ato2015-2018/2018/lei/l13752.htm</t>
      </text>
    </comment>
    <comment authorId="0" ref="B16">
      <text>
        <t xml:space="preserve">https://www12.senado.leg.br/noticias/materias/2018/11/26/sancionado-reajuste-de-ministros-do-stf</t>
      </text>
    </comment>
    <comment authorId="0" ref="C16">
      <text>
        <t xml:space="preserve">https://www12.senado.leg.br/noticias/materias/2018/11/26/sancionado-reajuste-de-ministros-do-stf</t>
      </text>
    </comment>
    <comment authorId="0" ref="D16">
      <text>
        <t xml:space="preserve">https://www12.senado.leg.br/noticias/materias/2018/11/26/sancionado-reajuste-de-ministros-do-stf</t>
      </text>
    </comment>
    <comment authorId="0" ref="E16">
      <text>
        <t xml:space="preserve">https://www12.senado.leg.br/noticias/materias/2018/11/26/sancionado-reajuste-de-ministros-do-stf</t>
      </text>
    </comment>
    <comment authorId="0" ref="F16">
      <text>
        <t xml:space="preserve">https://www12.senado.leg.br/noticias/materias/2018/11/26/sancionado-reajuste-de-ministros-do-stf</t>
      </text>
    </comment>
    <comment authorId="0" ref="G16">
      <text>
        <t xml:space="preserve">https://www12.senado.leg.br/noticias/materias/2018/11/26/sancionado-reajuste-de-ministros-do-stf</t>
      </text>
    </comment>
    <comment authorId="0" ref="B21">
      <text>
        <t xml:space="preserve">https://www.planalto.gov.br/ccivil_03/_ato2023-2026/2023/lei/L14520.htm</t>
      </text>
    </comment>
    <comment authorId="0" ref="C21">
      <text>
        <t xml:space="preserve">https://www.planalto.gov.br/ccivil_03/_ato2023-2026/2023/lei/L14520.htm</t>
      </text>
    </comment>
    <comment authorId="0" ref="D21">
      <text>
        <t xml:space="preserve">https://www.planalto.gov.br/ccivil_03/_ato2023-2026/2023/lei/L14520.htm</t>
      </text>
    </comment>
    <comment authorId="0" ref="E21">
      <text>
        <t xml:space="preserve">https://www.planalto.gov.br/ccivil_03/_ato2023-2026/2023/lei/L14520.htm</t>
      </text>
    </comment>
    <comment authorId="0" ref="F21">
      <text>
        <t xml:space="preserve">https://www.planalto.gov.br/ccivil_03/_ato2023-2026/2023/lei/L14520.htm</t>
      </text>
    </comment>
    <comment authorId="0" ref="G21">
      <text>
        <t xml:space="preserve">https://www.planalto.gov.br/ccivil_03/_ato2023-2026/2023/lei/L14520.htm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https://www.planalto.gov.br/ccivil_03/_ato2007-2010/2008/lei/anexos/ANL11890.htm#anexoiv</t>
      </text>
    </comment>
    <comment authorId="0" ref="D2">
      <text>
        <t xml:space="preserve">https://www.planalto.gov.br/ccivil_03/_ato2007-2010/2008/lei/anexos/ANL11890.htm#anexoiv</t>
      </text>
    </comment>
    <comment authorId="0" ref="F2">
      <text>
        <t xml:space="preserve">https://www.planalto.gov.br/ccivil_03/_ato2007-2010/2008/lei/anexos/ANL11890.htm#anexoii</t>
      </text>
    </comment>
    <comment authorId="0" ref="H2">
      <text>
        <t xml:space="preserve">https://www.planalto.gov.br/ccivil_03/_ato2007-2010/2008/lei/anexos/ANL11890.htm#anexoii</t>
      </text>
    </comment>
    <comment authorId="0" ref="J2">
      <text>
        <t xml:space="preserve">https://www.planalto.gov.br/ccivil_03/_ato2007-2010/2008/lei/anexos/ANL11890.htm#anexoiii</t>
      </text>
    </comment>
    <comment authorId="0" ref="B5">
      <text>
        <t xml:space="preserve">https://www.planalto.gov.br/ccivil_03/_Ato2011-2014/2012/Lei/L12775.htm#anexoiv</t>
      </text>
    </comment>
    <comment authorId="0" ref="D5">
      <text>
        <t xml:space="preserve">https://www.planalto.gov.br/ccivil_03/_Ato2011-2014/2012/Lei/L12775.htm#anexoiv</t>
      </text>
    </comment>
    <comment authorId="0" ref="F5">
      <text>
        <t xml:space="preserve">https://www.planalto.gov.br/ccivil_03/_Ato2004-2006/2004/Lei/L10.910.htm#anexoiv.</t>
      </text>
    </comment>
    <comment authorId="0" ref="H5">
      <text>
        <t xml:space="preserve">https://www.planalto.gov.br/ccivil_03/_Ato2004-2006/2004/Lei/L10.910.htm#anexoiv.</t>
      </text>
    </comment>
    <comment authorId="0" ref="J5">
      <text>
        <t xml:space="preserve">https://www.planalto.gov.br/ccivil_03/_Ato2004-2006/2006/Lei/L11358.htm#anexoi.</t>
      </text>
    </comment>
    <comment authorId="0" ref="J6">
      <text>
        <t xml:space="preserve">https://www.planalto.gov.br/ccivil_03/_Ato2011-2014/2012/Lei/L12775.htm#anexoxii</t>
      </text>
    </comment>
    <comment authorId="0" ref="B8">
      <text>
        <t xml:space="preserve">https://www.planalto.gov.br/ccivil_03/_ato2015-2018/2016/lei/l13327.htm#anexoi</t>
      </text>
    </comment>
    <comment authorId="0" ref="D8">
      <text>
        <t xml:space="preserve">https://www.planalto.gov.br/ccivil_03/_ato2015-2018/2016/lei/l13327.htm#anexoi</t>
      </text>
    </comment>
    <comment authorId="0" ref="J8">
      <text>
        <t xml:space="preserve">https://www.planalto.gov.br/ccivil_03/_ato2015-2018/2016/lei/l13327.htm#anexoxxxv</t>
      </text>
    </comment>
    <comment authorId="0" ref="F10">
      <text>
        <t xml:space="preserve">https://www.planalto.gov.br/ccivil_03/_ato2015-2018/2017/lei/l13464.htm#anexo7b</t>
      </text>
    </comment>
    <comment authorId="0" ref="H10">
      <text>
        <t xml:space="preserve">https://www.planalto.gov.br/ccivil_03/_ato2015-2018/2017/lei/l13464.htm#anexo7a</t>
      </text>
    </comment>
    <comment authorId="0" ref="F11">
      <text>
        <t xml:space="preserve">https://www.planalto.gov.br/ccivil_03/_Ato2004-2006/2004/Lei/L10.910.htm#anexo4</t>
      </text>
    </comment>
    <comment authorId="0" ref="H11">
      <text>
        <t xml:space="preserve">https://www.planalto.gov.br/ccivil_03/_Ato2004-2006/2004/Lei/L10.910.htm#anexo4</t>
      </text>
    </comment>
    <comment authorId="0" ref="J11">
      <text>
        <t xml:space="preserve">https://app.powerbi.com/view?r=eyJrIjoiODFiZWRlNzgtNzEzZC00OGEyLTlkZjQtZGUxNTgxZDE1MzEyIiwidCI6IjRkNzlkMzdhLTFlNGUtNGEzOS05ZmRlLWYxNjMxY2I2MDdkNCJ9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https://www.planalto.gov.br/ccivil_03/_ato2007-2010/2008/lei/anexos/ANL11890.htm#anexoiv</t>
      </text>
    </comment>
    <comment authorId="0" ref="C2">
      <text>
        <t xml:space="preserve">https://www.planalto.gov.br/ccivil_03/_ato2007-2010/2008/lei/anexos/ANL11890.htm#anexoiv</t>
      </text>
    </comment>
    <comment authorId="0" ref="D2">
      <text>
        <t xml:space="preserve">https://www.planalto.gov.br/ccivil_03/_ato2007-2010/2008/lei/anexos/ANL11890.htm#anexoiv</t>
      </text>
    </comment>
    <comment authorId="0" ref="E2">
      <text>
        <t xml:space="preserve">https://www.planalto.gov.br/ccivil_03/_ato2007-2010/2008/lei/anexos/ANL11890.htm#anexoiv</t>
      </text>
    </comment>
    <comment authorId="0" ref="F2">
      <text>
        <t xml:space="preserve">https://www.planalto.gov.br/ccivil_03/_ato2007-2010/2008/lei/anexos/ANL11890.htm#anexoii</t>
      </text>
    </comment>
    <comment authorId="0" ref="G2">
      <text>
        <t xml:space="preserve">https://www.planalto.gov.br/ccivil_03/_ato2007-2010/2008/lei/anexos/ANL11890.htm#anexoii</t>
      </text>
    </comment>
    <comment authorId="0" ref="H2">
      <text>
        <t xml:space="preserve">https://www.planalto.gov.br/ccivil_03/_ato2007-2010/2008/lei/anexos/ANL11890.htm#anexoii</t>
      </text>
    </comment>
    <comment authorId="0" ref="I2">
      <text>
        <t xml:space="preserve">https://www.planalto.gov.br/ccivil_03/_ato2007-2010/2008/lei/anexos/ANL11890.htm#anexoii</t>
      </text>
    </comment>
    <comment authorId="0" ref="J2">
      <text>
        <t xml:space="preserve">https://www.planalto.gov.br/ccivil_03/_ato2007-2010/2008/lei/anexos/ANL11890.htm#anexoiii</t>
      </text>
    </comment>
    <comment authorId="0" ref="K2">
      <text>
        <t xml:space="preserve">https://www.planalto.gov.br/ccivil_03/_ato2007-2010/2008/lei/anexos/ANL11890.htm#anexoiii</t>
      </text>
    </comment>
    <comment authorId="0" ref="B5">
      <text>
        <t xml:space="preserve">https://www.planalto.gov.br/ccivil_03/_Ato2011-2014/2012/Lei/L12775.htm#anexoiv</t>
      </text>
    </comment>
    <comment authorId="0" ref="C5">
      <text>
        <t xml:space="preserve">https://www.planalto.gov.br/ccivil_03/_Ato2011-2014/2012/Lei/L12775.htm#anexoiv</t>
      </text>
    </comment>
    <comment authorId="0" ref="D5">
      <text>
        <t xml:space="preserve">https://www.planalto.gov.br/ccivil_03/_Ato2011-2014/2012/Lei/L12775.htm#anexoiv</t>
      </text>
    </comment>
    <comment authorId="0" ref="E5">
      <text>
        <t xml:space="preserve">https://www.planalto.gov.br/ccivil_03/_Ato2011-2014/2012/Lei/L12775.htm#anexoiv</t>
      </text>
    </comment>
    <comment authorId="0" ref="F5">
      <text>
        <t xml:space="preserve">https://www.planalto.gov.br/ccivil_03/_Ato2004-2006/2004/Lei/L10.910.htm#anexoiv.</t>
      </text>
    </comment>
    <comment authorId="0" ref="G5">
      <text>
        <t xml:space="preserve">https://www.planalto.gov.br/ccivil_03/_Ato2004-2006/2004/Lei/L10.910.htm#anexoiv.</t>
      </text>
    </comment>
    <comment authorId="0" ref="H5">
      <text>
        <t xml:space="preserve">https://www.planalto.gov.br/ccivil_03/_Ato2004-2006/2004/Lei/L10.910.htm#anexoiv.</t>
      </text>
    </comment>
    <comment authorId="0" ref="I5">
      <text>
        <t xml:space="preserve">https://www.planalto.gov.br/ccivil_03/_Ato2004-2006/2004/Lei/L10.910.htm#anexoiv.</t>
      </text>
    </comment>
    <comment authorId="0" ref="J5">
      <text>
        <t xml:space="preserve">https://www.planalto.gov.br/ccivil_03/_Ato2004-2006/2006/Lei/L11358.htm#anexoi.</t>
      </text>
    </comment>
    <comment authorId="0" ref="K5">
      <text>
        <t xml:space="preserve">https://www.planalto.gov.br/ccivil_03/_Ato2004-2006/2006/Lei/L11358.htm#anexoi.</t>
      </text>
    </comment>
    <comment authorId="0" ref="J6">
      <text>
        <t xml:space="preserve">https://www.planalto.gov.br/ccivil_03/_Ato2011-2014/2012/Lei/L12775.htm#anexoxii</t>
      </text>
    </comment>
    <comment authorId="0" ref="K6">
      <text>
        <t xml:space="preserve">https://www.planalto.gov.br/ccivil_03/_Ato2011-2014/2012/Lei/L12775.htm#anexoxii</t>
      </text>
    </comment>
    <comment authorId="0" ref="B8">
      <text>
        <t xml:space="preserve">https://www.planalto.gov.br/ccivil_03/_ato2015-2018/2016/lei/l13327.htm#anexoi</t>
      </text>
    </comment>
    <comment authorId="0" ref="C8">
      <text>
        <t xml:space="preserve">https://www.planalto.gov.br/ccivil_03/_ato2015-2018/2016/lei/l13327.htm#anexoi</t>
      </text>
    </comment>
    <comment authorId="0" ref="D8">
      <text>
        <t xml:space="preserve">https://www.planalto.gov.br/ccivil_03/_ato2015-2018/2016/lei/l13327.htm#anexoi</t>
      </text>
    </comment>
    <comment authorId="0" ref="E8">
      <text>
        <t xml:space="preserve">https://www.planalto.gov.br/ccivil_03/_ato2015-2018/2016/lei/l13327.htm#anexoi</t>
      </text>
    </comment>
    <comment authorId="0" ref="J8">
      <text>
        <t xml:space="preserve">https://www.planalto.gov.br/ccivil_03/_ato2015-2018/2016/lei/l13327.htm#anexoxxxv</t>
      </text>
    </comment>
    <comment authorId="0" ref="K8">
      <text>
        <t xml:space="preserve">https://www.planalto.gov.br/ccivil_03/_ato2015-2018/2016/lei/l13327.htm#anexoxxxv</t>
      </text>
    </comment>
    <comment authorId="0" ref="F10">
      <text>
        <t xml:space="preserve">https://www.planalto.gov.br/ccivil_03/_ato2015-2018/2017/lei/l13464.htm#anexo7b</t>
      </text>
    </comment>
    <comment authorId="0" ref="G10">
      <text>
        <t xml:space="preserve">https://www.planalto.gov.br/ccivil_03/_ato2015-2018/2017/lei/l13464.htm#anexo7b</t>
      </text>
    </comment>
    <comment authorId="0" ref="H10">
      <text>
        <t xml:space="preserve">https://www.planalto.gov.br/ccivil_03/_ato2015-2018/2017/lei/l13464.htm#anexo7a</t>
      </text>
    </comment>
    <comment authorId="0" ref="I10">
      <text>
        <t xml:space="preserve">https://www.planalto.gov.br/ccivil_03/_ato2015-2018/2017/lei/l13464.htm#anexo7a</t>
      </text>
    </comment>
    <comment authorId="0" ref="F11">
      <text>
        <t xml:space="preserve">https://www.planalto.gov.br/ccivil_03/_Ato2004-2006/2004/Lei/L10.910.htm#anexo4</t>
      </text>
    </comment>
    <comment authorId="0" ref="G11">
      <text>
        <t xml:space="preserve">https://www.planalto.gov.br/ccivil_03/_Ato2004-2006/2004/Lei/L10.910.htm#anexo4</t>
      </text>
    </comment>
    <comment authorId="0" ref="H11">
      <text>
        <t xml:space="preserve">https://www.planalto.gov.br/ccivil_03/_Ato2004-2006/2004/Lei/L10.910.htm#anexo4</t>
      </text>
    </comment>
    <comment authorId="0" ref="I11">
      <text>
        <t xml:space="preserve">https://www.planalto.gov.br/ccivil_03/_Ato2004-2006/2004/Lei/L10.910.htm#anexo4</t>
      </text>
    </comment>
    <comment authorId="0" ref="J11">
      <text>
        <t xml:space="preserve">https://app.powerbi.com/view?r=eyJrIjoiODFiZWRlNzgtNzEzZC00OGEyLTlkZjQtZGUxNTgxZDE1MzEyIiwidCI6IjRkNzlkMzdhLTFlNGUtNGEzOS05ZmRlLWYxNjMxY2I2MDdkNCJ9</t>
      </text>
    </comment>
    <comment authorId="0" ref="K11">
      <text>
        <t xml:space="preserve">https://app.powerbi.com/view?r=eyJrIjoiODFiZWRlNzgtNzEzZC00OGEyLTlkZjQtZGUxNTgxZDE1MzEyIiwidCI6IjRkNzlkMzdhLTFlNGUtNGEzOS05ZmRlLWYxNjMxY2I2MDdkNCJ9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https://www.planalto.gov.br/ccivil_03/_ato2007-2010/2008/lei/anexos/ANL11890.htm#anexoiv</t>
      </text>
    </comment>
    <comment authorId="0" ref="D2">
      <text>
        <t xml:space="preserve">https://www.planalto.gov.br/ccivil_03/_ato2007-2010/2008/lei/anexos/ANL11890.htm#anexoiv</t>
      </text>
    </comment>
    <comment authorId="0" ref="F2">
      <text>
        <t xml:space="preserve">https://www.planalto.gov.br/ccivil_03/_ato2007-2010/2008/lei/anexos/ANL11890.htm#anexoii</t>
      </text>
    </comment>
    <comment authorId="0" ref="H2">
      <text>
        <t xml:space="preserve">https://www.planalto.gov.br/ccivil_03/_ato2007-2010/2008/lei/anexos/ANL11890.htm#anexoii</t>
      </text>
    </comment>
    <comment authorId="0" ref="J2">
      <text>
        <t xml:space="preserve">https://www.planalto.gov.br/ccivil_03/_ato2007-2010/2008/lei/anexos/ANL11890.htm#anexoiii</t>
      </text>
    </comment>
    <comment authorId="0" ref="B5">
      <text>
        <t xml:space="preserve">https://www.planalto.gov.br/ccivil_03/_Ato2011-2014/2012/Lei/L12775.htm#anexoiv</t>
      </text>
    </comment>
    <comment authorId="0" ref="D5">
      <text>
        <t xml:space="preserve">https://www.planalto.gov.br/ccivil_03/_Ato2011-2014/2012/Lei/L12775.htm#anexoiv</t>
      </text>
    </comment>
    <comment authorId="0" ref="F5">
      <text>
        <t xml:space="preserve">https://www.planalto.gov.br/ccivil_03/_Ato2004-2006/2004/Lei/L10.910.htm#anexoiv.</t>
      </text>
    </comment>
    <comment authorId="0" ref="H5">
      <text>
        <t xml:space="preserve">https://www.planalto.gov.br/ccivil_03/_Ato2004-2006/2004/Lei/L10.910.htm#anexoiv.</t>
      </text>
    </comment>
    <comment authorId="0" ref="J5">
      <text>
        <t xml:space="preserve">https://www.planalto.gov.br/ccivil_03/_Ato2004-2006/2006/Lei/L11358.htm#anexoi.</t>
      </text>
    </comment>
    <comment authorId="0" ref="J6">
      <text>
        <t xml:space="preserve">https://www.planalto.gov.br/ccivil_03/_Ato2011-2014/2012/Lei/L12775.htm#anexoxii</t>
      </text>
    </comment>
    <comment authorId="0" ref="B8">
      <text>
        <t xml:space="preserve">https://www.planalto.gov.br/ccivil_03/_ato2015-2018/2016/lei/l13327.htm#anexoi</t>
      </text>
    </comment>
    <comment authorId="0" ref="D8">
      <text>
        <t xml:space="preserve">https://www.planalto.gov.br/ccivil_03/_ato2015-2018/2016/lei/l13327.htm#anexoi</t>
      </text>
    </comment>
    <comment authorId="0" ref="J8">
      <text>
        <t xml:space="preserve">https://www.planalto.gov.br/ccivil_03/_ato2015-2018/2016/lei/l13327.htm#anexoxxxv</t>
      </text>
    </comment>
    <comment authorId="0" ref="F10">
      <text>
        <t xml:space="preserve">https://www.planalto.gov.br/ccivil_03/_ato2015-2018/2017/lei/l13464.htm#anexo7b</t>
      </text>
    </comment>
    <comment authorId="0" ref="H10">
      <text>
        <t xml:space="preserve">https://www.planalto.gov.br/ccivil_03/_ato2015-2018/2017/lei/l13464.htm#anexo7a</t>
      </text>
    </comment>
    <comment authorId="0" ref="F11">
      <text>
        <t xml:space="preserve">https://www.planalto.gov.br/ccivil_03/_Ato2004-2006/2004/Lei/L10.910.htm#anexo4</t>
      </text>
    </comment>
    <comment authorId="0" ref="H11">
      <text>
        <t xml:space="preserve">https://www.planalto.gov.br/ccivil_03/_Ato2004-2006/2004/Lei/L10.910.htm#anexo4</t>
      </text>
    </comment>
    <comment authorId="0" ref="J11">
      <text>
        <t xml:space="preserve">https://app.powerbi.com/view?r=eyJrIjoiODFiZWRlNzgtNzEzZC00OGEyLTlkZjQtZGUxNTgxZDE1MzEyIiwidCI6IjRkNzlkMzdhLTFlNGUtNGEzOS05ZmRlLWYxNjMxY2I2MDdkNCJ9</t>
      </text>
    </comment>
  </commentList>
</comments>
</file>

<file path=xl/sharedStrings.xml><?xml version="1.0" encoding="utf-8"?>
<sst xmlns="http://schemas.openxmlformats.org/spreadsheetml/2006/main" count="1977" uniqueCount="300">
  <si>
    <t>STF</t>
  </si>
  <si>
    <t>CJ</t>
  </si>
  <si>
    <t>RFB</t>
  </si>
  <si>
    <t>PF</t>
  </si>
  <si>
    <t>SIT</t>
  </si>
  <si>
    <t>CFC</t>
  </si>
  <si>
    <t>Boletim Focus (BCB): “o IPCA […] para 2025 […] deve ficar em 3,50%. Para 2026 e 2027, a previsão é que a inflação se mantenha nos 3,5%”</t>
  </si>
  <si>
    <t>https://agenciabrasil.ebc.com.br/economia/noticia/2024-01/inflacao-deve-fechar-este-ano-em-387</t>
  </si>
  <si>
    <t>AFT</t>
  </si>
  <si>
    <t>MÊS/ANO</t>
  </si>
  <si>
    <t>STN com Reajuste</t>
  </si>
  <si>
    <t>SERFB sem Reajuste e sem BEP</t>
  </si>
  <si>
    <t>SERFB sem Reajuste e com BEP</t>
  </si>
  <si>
    <t>SERFB com Reajuste e sem BEP</t>
  </si>
  <si>
    <t>SERFB com Reajuste e com BEP</t>
  </si>
  <si>
    <t>PGFN sem Reajuste e sem HA</t>
  </si>
  <si>
    <t>PGFN sem Reajuste e com HA</t>
  </si>
  <si>
    <t>PGFN com Reajuste e sem HA</t>
  </si>
  <si>
    <t>PGFN com Reajuste e com HA</t>
  </si>
  <si>
    <t>TFFC ($)</t>
  </si>
  <si>
    <t>TFFC (%)</t>
  </si>
  <si>
    <t>AFFC ($)</t>
  </si>
  <si>
    <t>AFFC (%)</t>
  </si>
  <si>
    <t>ATRFB ($)</t>
  </si>
  <si>
    <t>ATRFB (%)</t>
  </si>
  <si>
    <t>AFRFB ($)</t>
  </si>
  <si>
    <t>AFRFB (%)</t>
  </si>
  <si>
    <t>PFN ($)</t>
  </si>
  <si>
    <t>PFN (%)</t>
  </si>
  <si>
    <t>TFFC (base)</t>
  </si>
  <si>
    <t>TFFC (topo)</t>
  </si>
  <si>
    <t>AFFC (base)</t>
  </si>
  <si>
    <t>AFFC (topo)</t>
  </si>
  <si>
    <t>ATRFB (base)</t>
  </si>
  <si>
    <t>ATRFB (topo)</t>
  </si>
  <si>
    <t>AFRFB (base)</t>
  </si>
  <si>
    <t>AFRFB (topo)</t>
  </si>
  <si>
    <t>PFN (base)</t>
  </si>
  <si>
    <t>PFN (topo)</t>
  </si>
  <si>
    <t>STF (bruto)</t>
  </si>
  <si>
    <t>PFN (bruto)</t>
  </si>
  <si>
    <t>DPF (bruto)</t>
  </si>
  <si>
    <t>AFRFB (bruto)</t>
  </si>
  <si>
    <t>ATRFB (bruto)</t>
  </si>
  <si>
    <t>AFFC (bruto)</t>
  </si>
  <si>
    <t>TFFC (bruto)</t>
  </si>
  <si>
    <t>STF (líquido)</t>
  </si>
  <si>
    <t>PFN (líquido)</t>
  </si>
  <si>
    <t>DPF (líquido)</t>
  </si>
  <si>
    <t>AFRFB (líquido)</t>
  </si>
  <si>
    <t>ATRFB (líquido)</t>
  </si>
  <si>
    <t>AFFC (líquido)</t>
  </si>
  <si>
    <t>TFFC (líquido)</t>
  </si>
  <si>
    <t>PFN: subsídio (bruto)</t>
  </si>
  <si>
    <t>PFN: HA (bruto)</t>
  </si>
  <si>
    <t>AFRFB: VB (bruto)</t>
  </si>
  <si>
    <t>AFRFB: BEP (bruto)</t>
  </si>
  <si>
    <t>ATRFB: VB (bruto)</t>
  </si>
  <si>
    <t>ATRFB: BEP (bruto)</t>
  </si>
  <si>
    <t>PFN: subsídio (líquido)</t>
  </si>
  <si>
    <t>PFN: HA (líquido)</t>
  </si>
  <si>
    <t>AFRFB: VB (líquido)</t>
  </si>
  <si>
    <t>AFRFB: BEP (líquido)</t>
  </si>
  <si>
    <t>ATRFB: VB (líquido)</t>
  </si>
  <si>
    <t>ATRFB: BEP (líquido)</t>
  </si>
  <si>
    <t>PS: XX/20XX - 02/2020</t>
  </si>
  <si>
    <t>IR: 04/2015 - 04/2023</t>
  </si>
  <si>
    <t>PS: 03/2020 - 12/2020</t>
  </si>
  <si>
    <t>PS: 01/2021 - 12/2021</t>
  </si>
  <si>
    <t>PS: 01/2022 - 12/2022</t>
  </si>
  <si>
    <t>PS: 01/2023 - 04/2023</t>
  </si>
  <si>
    <t>PS: 05/2023 - 12/2023</t>
  </si>
  <si>
    <t>IR: 05/2023 - 01/2024</t>
  </si>
  <si>
    <t>PS: 01/2024 - XX/20XX</t>
  </si>
  <si>
    <t>IR: 02/2024 - XX/20XX</t>
  </si>
  <si>
    <t>PGFN | Real (bruto)</t>
  </si>
  <si>
    <t>PGFN | Ideal (bruto)</t>
  </si>
  <si>
    <t>SERFB | Real (bruto)</t>
  </si>
  <si>
    <t>SERFB | Ideal (bruto)</t>
  </si>
  <si>
    <t>STN (bruto)</t>
  </si>
  <si>
    <t>PGFN | Real (líquido)</t>
  </si>
  <si>
    <t>PGFN | Ideal (líquido)</t>
  </si>
  <si>
    <t>SERFB | Real (líquido)</t>
  </si>
  <si>
    <t>SERFB | Ideal (líquido)</t>
  </si>
  <si>
    <t>STN (líquido)</t>
  </si>
  <si>
    <t>PGFN: subsídio (bruto)</t>
  </si>
  <si>
    <t>PGFN: HA (bruto)</t>
  </si>
  <si>
    <t>SERFB: VB (bruto)</t>
  </si>
  <si>
    <t>SERFB: BEP (bruto)</t>
  </si>
  <si>
    <t>PGFN: subsídio (líquido)</t>
  </si>
  <si>
    <t>PGFN: HA (líquido)</t>
  </si>
  <si>
    <t>SERFB: VB (líquido)</t>
  </si>
  <si>
    <t>SERFB: BEP (líquido)</t>
  </si>
  <si>
    <t>PGFN (bruto)</t>
  </si>
  <si>
    <t>SERFB (bruto)</t>
  </si>
  <si>
    <t>PGFN (líquido)</t>
  </si>
  <si>
    <t>SERFB (líquido)</t>
  </si>
  <si>
    <t>ANO</t>
  </si>
  <si>
    <t>PGFN</t>
  </si>
  <si>
    <t>SERFB</t>
  </si>
  <si>
    <t>STN</t>
  </si>
  <si>
    <t>FILTRO</t>
  </si>
  <si>
    <t>bruto</t>
  </si>
  <si>
    <t>líquido</t>
  </si>
  <si>
    <t>AFFC</t>
  </si>
  <si>
    <t>AFRFB</t>
  </si>
  <si>
    <t>PFN</t>
  </si>
  <si>
    <t>CENÁRIO</t>
  </si>
  <si>
    <t>2016–2019</t>
  </si>
  <si>
    <t>2020–2023</t>
  </si>
  <si>
    <t>2024–2027</t>
  </si>
  <si>
    <t>2016–2027</t>
  </si>
  <si>
    <t>acumulado (bruto)</t>
  </si>
  <si>
    <t>diferença (bruto)</t>
  </si>
  <si>
    <t>acumulado (líquido)</t>
  </si>
  <si>
    <t>diferença (líquido)</t>
  </si>
  <si>
    <t>Real (bruto)</t>
  </si>
  <si>
    <t>Real (líquido)</t>
  </si>
  <si>
    <t>Ideal (bruto)</t>
  </si>
  <si>
    <t>Ideal (líquido)</t>
  </si>
  <si>
    <t>Real</t>
  </si>
  <si>
    <t>MONTANTE</t>
  </si>
  <si>
    <t>com BEP</t>
  </si>
  <si>
    <t>com HAS</t>
  </si>
  <si>
    <t>DIFERENÇA</t>
  </si>
  <si>
    <t>Ideal</t>
  </si>
  <si>
    <t>sem BEP</t>
  </si>
  <si>
    <t>sem HAS</t>
  </si>
  <si>
    <t>VB-Subsídio</t>
  </si>
  <si>
    <t>BEP</t>
  </si>
  <si>
    <t>HAS</t>
  </si>
  <si>
    <t>PGFN | Atual (bruto)</t>
  </si>
  <si>
    <t>PGFN | Novo (bruto)</t>
  </si>
  <si>
    <t>SERFB | Atual (bruto)</t>
  </si>
  <si>
    <t>SERFB | Novo (bruto)</t>
  </si>
  <si>
    <t>STN | Atual (bruto)</t>
  </si>
  <si>
    <t>STN | Novo (bruto)</t>
  </si>
  <si>
    <t>PGFN | Atual (líquido)</t>
  </si>
  <si>
    <t>PGFN | Novo (líquido)</t>
  </si>
  <si>
    <t>SERFB | Atual (líquido)</t>
  </si>
  <si>
    <t>SERFB | Novo (líquido)</t>
  </si>
  <si>
    <t>STN | Atual (líquido)</t>
  </si>
  <si>
    <t>STN | Novo (líquido)</t>
  </si>
  <si>
    <t>PGFN: subsídio | Atual (bruto)</t>
  </si>
  <si>
    <t>PGFN: subsídio | Novo (bruto)</t>
  </si>
  <si>
    <t>PGFN: HA | Atual (bruto)</t>
  </si>
  <si>
    <t>PGFN: HA | Novo (bruto)</t>
  </si>
  <si>
    <t>SERFB: VB | Atual (bruto)</t>
  </si>
  <si>
    <t>SERFB: VB | Novo (bruto)</t>
  </si>
  <si>
    <t>PGFN: subsídio | Atual (líquido)</t>
  </si>
  <si>
    <t>PGFN: subsídio | Novo (líquido)</t>
  </si>
  <si>
    <t>PGFN: HA | Atual (líquido)</t>
  </si>
  <si>
    <t>PGFN: HA | Novo (líquido)</t>
  </si>
  <si>
    <t>SERFB: VB | Atual (líquido)</t>
  </si>
  <si>
    <t>SERFB: VB | Novo (líquido)</t>
  </si>
  <si>
    <t>Painel Estatístico de Pessoal: fevereiro/2024</t>
  </si>
  <si>
    <t>TOTAL</t>
  </si>
  <si>
    <t>ATIVO</t>
  </si>
  <si>
    <t>APOSENTADO</t>
  </si>
  <si>
    <t>PENSIONISTA</t>
  </si>
  <si>
    <t>Auditor Federal de Finanças e Controle</t>
  </si>
  <si>
    <t>CGU</t>
  </si>
  <si>
    <t>TFFC</t>
  </si>
  <si>
    <t>Técnico Federal de Finanças e Controle</t>
  </si>
  <si>
    <t>CPO</t>
  </si>
  <si>
    <t>SOF</t>
  </si>
  <si>
    <t>APO</t>
  </si>
  <si>
    <t>Analista de Planejamento e Orçamento</t>
  </si>
  <si>
    <t>TPO</t>
  </si>
  <si>
    <t>Técnico de Planejamento e Orçamento</t>
  </si>
  <si>
    <t>CEPPGG</t>
  </si>
  <si>
    <t>MGI</t>
  </si>
  <si>
    <t>EPPGG</t>
  </si>
  <si>
    <t>Especialista em Políticas Públicas e Gestão Governamental</t>
  </si>
  <si>
    <t>CACE</t>
  </si>
  <si>
    <t>MDIC</t>
  </si>
  <si>
    <t>ACE</t>
  </si>
  <si>
    <t>Analista de Comércio Exterior</t>
  </si>
  <si>
    <t>PCC-IPEA</t>
  </si>
  <si>
    <t>IPEA</t>
  </si>
  <si>
    <t>TPP-IPEA</t>
  </si>
  <si>
    <t>Técnico de Planejamento e Pesquisa do IPEA</t>
  </si>
  <si>
    <t>PCC-SUSEP</t>
  </si>
  <si>
    <t>SUSEP</t>
  </si>
  <si>
    <t>AT-SUSEP</t>
  </si>
  <si>
    <t>Analista Técnico da SUSEP</t>
  </si>
  <si>
    <t>AE-SUSEP</t>
  </si>
  <si>
    <t>Agente Executivo da SUSEP</t>
  </si>
  <si>
    <t>PCC-CVM</t>
  </si>
  <si>
    <t>CVM</t>
  </si>
  <si>
    <t>An-CVM</t>
  </si>
  <si>
    <t>Analista da CVM</t>
  </si>
  <si>
    <t>In-CVM</t>
  </si>
  <si>
    <t>Inspetor da CVM</t>
  </si>
  <si>
    <t>AE-CVM</t>
  </si>
  <si>
    <t>Agente Executivo da CVM</t>
  </si>
  <si>
    <t>CEBCB</t>
  </si>
  <si>
    <t>BCB</t>
  </si>
  <si>
    <t>ABCB</t>
  </si>
  <si>
    <t>Analista do Banco Central do Brasil</t>
  </si>
  <si>
    <t>TBCB</t>
  </si>
  <si>
    <t>Técnico do Banco Central do Brasil</t>
  </si>
  <si>
    <t>MRE</t>
  </si>
  <si>
    <t>Diplomata</t>
  </si>
  <si>
    <t>OfChan</t>
  </si>
  <si>
    <t>Oficial de Chancelaria</t>
  </si>
  <si>
    <t>AsChan</t>
  </si>
  <si>
    <t>Assistente de Chancelaria</t>
  </si>
  <si>
    <t>CAGU</t>
  </si>
  <si>
    <t>PGU</t>
  </si>
  <si>
    <t>AU</t>
  </si>
  <si>
    <t>Advogado da União</t>
  </si>
  <si>
    <t>PGF</t>
  </si>
  <si>
    <t>Procurador Federal</t>
  </si>
  <si>
    <t>Procurador da Fazenda Nacional</t>
  </si>
  <si>
    <t>PGBCB</t>
  </si>
  <si>
    <t>PBCB</t>
  </si>
  <si>
    <t>Procurador do Banco Central do Brasil</t>
  </si>
  <si>
    <t>CAFT</t>
  </si>
  <si>
    <t>Auditoria-Fiscal do Trabalho</t>
  </si>
  <si>
    <t>CTARFB</t>
  </si>
  <si>
    <t>Auditor-Fiscal da Receita Federal do Brasil</t>
  </si>
  <si>
    <t>ATRFB</t>
  </si>
  <si>
    <t>Analista Tributário da Receita Federal do Brasil</t>
  </si>
  <si>
    <t>CPF</t>
  </si>
  <si>
    <t>DPF_0</t>
  </si>
  <si>
    <t>Delegado de Polícia Federal - Categoria Especial</t>
  </si>
  <si>
    <t>DPF_1</t>
  </si>
  <si>
    <t>Delegado de Polícia Federal - Primeira Classe</t>
  </si>
  <si>
    <t>DPF_2</t>
  </si>
  <si>
    <t>Delegado de Polícia Federal - Segunda Classe</t>
  </si>
  <si>
    <t>DPF_3</t>
  </si>
  <si>
    <t>Delegado de Polícia Federal - Terceira Classe</t>
  </si>
  <si>
    <t>PCF_0</t>
  </si>
  <si>
    <t>Perito Criminal Federal - Categoria Especial</t>
  </si>
  <si>
    <t>PCF_1</t>
  </si>
  <si>
    <t>Perito Criminal Federal - Primeira Classe</t>
  </si>
  <si>
    <t>PCF_2</t>
  </si>
  <si>
    <t>Perito Criminal Federal - Segunda Classe</t>
  </si>
  <si>
    <t>PCF_3</t>
  </si>
  <si>
    <t>Perito Criminal Federal - Terceira Classe</t>
  </si>
  <si>
    <t>APF_0</t>
  </si>
  <si>
    <t>Agente de Polícia Federal - Categoria Especial</t>
  </si>
  <si>
    <t>APF_1</t>
  </si>
  <si>
    <t>Agente de Polícia Federal - Primeira Classe</t>
  </si>
  <si>
    <t>APF_2</t>
  </si>
  <si>
    <t>Agente de Polícia Federal - Segunda Classe</t>
  </si>
  <si>
    <t>APF_3</t>
  </si>
  <si>
    <t>Agente de Polícia Federal - Terceira Classe</t>
  </si>
  <si>
    <t>ECF_0</t>
  </si>
  <si>
    <t>Escrivão de Polícia Federal - Categoria Especial</t>
  </si>
  <si>
    <t>ECF_1</t>
  </si>
  <si>
    <t>Escrivão de Polícia Federal - Primeira Classe</t>
  </si>
  <si>
    <t>ECF_2</t>
  </si>
  <si>
    <t>Escrivão de Polícia Federal - Segunda Classe</t>
  </si>
  <si>
    <t>ECF_3</t>
  </si>
  <si>
    <t>Escrivão de Polícia Federal - Terceira Classe</t>
  </si>
  <si>
    <t>PPF_0</t>
  </si>
  <si>
    <t>Papiloscopista Policial Federal - Categoria Especial</t>
  </si>
  <si>
    <t>PPF_1</t>
  </si>
  <si>
    <t>Papiloscopista Policial Federal - Primeira Classe</t>
  </si>
  <si>
    <t>PPF_2</t>
  </si>
  <si>
    <t>Papiloscopista Policial Federal - Segunda Classe</t>
  </si>
  <si>
    <t>PPF_3</t>
  </si>
  <si>
    <t>Papiloscopista Policial Federal - Terceira Classe</t>
  </si>
  <si>
    <t>DPF</t>
  </si>
  <si>
    <t>Delegado de Polícia Federal</t>
  </si>
  <si>
    <t>PCF</t>
  </si>
  <si>
    <t>Perito Criminal Federal</t>
  </si>
  <si>
    <t>APF</t>
  </si>
  <si>
    <t>Agente de Polícia Federal</t>
  </si>
  <si>
    <t>EPF</t>
  </si>
  <si>
    <t>Escrivão de Polícia Federal</t>
  </si>
  <si>
    <t>PPF</t>
  </si>
  <si>
    <t>Papiloscopista Policial Federal</t>
  </si>
  <si>
    <t>Grupo</t>
  </si>
  <si>
    <t>Órgão/Carreira</t>
  </si>
  <si>
    <t>Cargo</t>
  </si>
  <si>
    <t>Situação</t>
  </si>
  <si>
    <t>Quantidade</t>
  </si>
  <si>
    <t>Percentual</t>
  </si>
  <si>
    <t>Total</t>
  </si>
  <si>
    <t>Denominação</t>
  </si>
  <si>
    <t>Todos</t>
  </si>
  <si>
    <t>apos.</t>
  </si>
  <si>
    <t>ativ.</t>
  </si>
  <si>
    <t>pens.</t>
  </si>
  <si>
    <t>SEB</t>
  </si>
  <si>
    <t>AGU</t>
  </si>
  <si>
    <t>Auditoria</t>
  </si>
  <si>
    <t>Diplomacia</t>
  </si>
  <si>
    <t>Financeiras</t>
  </si>
  <si>
    <t>Governamentais</t>
  </si>
  <si>
    <t>Jurídicas</t>
  </si>
  <si>
    <t>Policial</t>
  </si>
  <si>
    <t>Fazendárias</t>
  </si>
  <si>
    <t>CPFN</t>
  </si>
  <si>
    <t>Congêneres</t>
  </si>
  <si>
    <t>SUM de Quantidade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</si>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</sst>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/&quot;yyyy"/>
    <numFmt numFmtId="165" formatCode="0.0%"/>
    <numFmt numFmtId="166" formatCode="_-* #,##0.00_-;\-* #,##0.00_-;_-* &quot;-&quot;??_-;_-@"/>
    <numFmt numFmtId="167" formatCode="#,##0.0000"/>
    <numFmt numFmtId="168" formatCode="#,##0.000"/>
    <numFmt numFmtId="169" formatCode="#,##0.0"/>
  </numFmts>
  <fonts count="46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1.0"/>
      <color rgb="FFFFFFFF"/>
      <name val="Arial"/>
      <scheme val="minor"/>
    </font>
    <font>
      <b/>
      <u/>
      <sz val="11.0"/>
      <color rgb="FFFF0000"/>
      <name val="Arial"/>
      <scheme val="minor"/>
    </font>
    <font>
      <b/>
      <sz val="16.0"/>
      <color theme="1"/>
      <name val="Arial"/>
      <scheme val="minor"/>
    </font>
    <font>
      <b/>
      <sz val="14.0"/>
      <color rgb="FF000000"/>
      <name val="Arial"/>
      <scheme val="minor"/>
    </font>
    <font>
      <b/>
      <sz val="14.0"/>
      <color theme="1"/>
      <name val="Arial"/>
    </font>
    <font>
      <sz val="14.0"/>
      <color rgb="FF666666"/>
      <name val="Arial"/>
      <scheme val="minor"/>
    </font>
    <font>
      <b/>
      <sz val="14.0"/>
      <color theme="1"/>
      <name val="Arial"/>
      <scheme val="minor"/>
    </font>
    <font>
      <sz val="20.0"/>
      <color theme="1"/>
      <name val="Arial"/>
      <scheme val="minor"/>
    </font>
    <font>
      <sz val="15.0"/>
      <color theme="1"/>
      <name val="Arial"/>
      <scheme val="minor"/>
    </font>
    <font>
      <u/>
      <sz val="20.0"/>
      <color rgb="FF0000FF"/>
    </font>
    <font>
      <b/>
      <sz val="24.0"/>
      <color rgb="FF000000"/>
      <name val="Arial"/>
      <scheme val="minor"/>
    </font>
    <font>
      <b/>
      <sz val="24.0"/>
      <color theme="1"/>
      <name val="Arial"/>
    </font>
    <font>
      <sz val="24.0"/>
      <color rgb="FF666666"/>
      <name val="Arial"/>
      <scheme val="minor"/>
    </font>
    <font>
      <sz val="24.0"/>
      <color rgb="FF666666"/>
      <name val="Arial"/>
    </font>
    <font>
      <b/>
      <sz val="22.0"/>
      <color rgb="FF000000"/>
      <name val="Arial"/>
      <scheme val="minor"/>
    </font>
    <font>
      <b/>
      <sz val="22.0"/>
      <color theme="1"/>
      <name val="Arial"/>
    </font>
    <font>
      <sz val="22.0"/>
      <color rgb="FF666666"/>
      <name val="Arial"/>
      <scheme val="minor"/>
    </font>
    <font>
      <sz val="22.0"/>
      <color rgb="FF666666"/>
      <name val="Arial"/>
    </font>
    <font>
      <b/>
      <u/>
      <color theme="1"/>
      <name val="Arial"/>
      <scheme val="minor"/>
    </font>
    <font>
      <b/>
      <u/>
      <sz val="11.0"/>
      <color rgb="FFFFFFFF"/>
      <name val="Arial"/>
      <scheme val="minor"/>
    </font>
    <font>
      <sz val="14.0"/>
      <color rgb="FF000000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b/>
      <u/>
      <color theme="1"/>
      <name val="Arial"/>
    </font>
    <font>
      <b/>
      <sz val="16.0"/>
      <color theme="1"/>
      <name val="Arial"/>
    </font>
    <font>
      <b/>
      <u/>
      <sz val="11.0"/>
      <color rgb="FFFFFFFF"/>
      <name val="Arial"/>
    </font>
    <font>
      <b/>
      <u/>
      <sz val="11.0"/>
      <color rgb="FFFFFFFF"/>
      <name val="Arial"/>
    </font>
    <font>
      <u/>
      <color theme="1"/>
      <name val="Arial"/>
    </font>
    <font>
      <u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trike/>
      <u/>
      <color theme="1"/>
      <name val="Arial"/>
      <scheme val="minor"/>
    </font>
    <font>
      <strike/>
      <u/>
      <color theme="1"/>
      <name val="Arial"/>
      <scheme val="minor"/>
    </font>
    <font>
      <b/>
      <u/>
      <sz val="11.0"/>
      <color rgb="FFFFFFFF"/>
      <name val="Arial"/>
      <scheme val="minor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i/>
      <sz val="11.0"/>
      <color theme="1"/>
      <name val="Calibri"/>
    </font>
    <font>
      <i/>
      <sz val="11.0"/>
      <color rgb="FFFF0000"/>
      <name val="Calibri"/>
    </font>
    <font>
      <sz val="11.0"/>
      <color rgb="FFFF0000"/>
      <name val="Calibri"/>
    </font>
    <font>
      <b/>
      <sz val="11.0"/>
      <color theme="1"/>
      <name val="Calibri"/>
    </font>
    <font>
      <i/>
      <u/>
      <sz val="11.0"/>
      <color theme="1"/>
      <name val="Calibri"/>
    </font>
    <font>
      <b/>
      <color rgb="FFFFFFF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EE6029"/>
        <bgColor rgb="FFEE6029"/>
      </patternFill>
    </fill>
    <fill>
      <patternFill patternType="solid">
        <fgColor rgb="FFEF6727"/>
        <bgColor rgb="FFEF6727"/>
      </patternFill>
    </fill>
    <fill>
      <patternFill patternType="solid">
        <fgColor rgb="FFEA4335"/>
        <bgColor rgb="FFEA4335"/>
      </patternFill>
    </fill>
    <fill>
      <patternFill patternType="solid">
        <fgColor rgb="FFE67C73"/>
        <bgColor rgb="FFE67C7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</fills>
  <borders count="18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164" xfId="0" applyAlignment="1" applyFill="1" applyFont="1" applyNumberFormat="1">
      <alignment horizontal="center" readingOrder="0"/>
    </xf>
    <xf borderId="0" fillId="3" fontId="3" numFmtId="164" xfId="0" applyAlignment="1" applyFill="1" applyFont="1" applyNumberFormat="1">
      <alignment horizontal="center" readingOrder="0"/>
    </xf>
    <xf borderId="0" fillId="4" fontId="4" numFmtId="0" xfId="0" applyAlignment="1" applyFill="1" applyFont="1">
      <alignment horizontal="left" readingOrder="0" textRotation="90" vertical="center"/>
    </xf>
    <xf borderId="0" fillId="0" fontId="5" numFmtId="4" xfId="0" applyAlignment="1" applyFont="1" applyNumberFormat="1">
      <alignment horizontal="center" readingOrder="0" textRotation="45" vertical="center"/>
    </xf>
    <xf borderId="0" fillId="5" fontId="6" numFmtId="4" xfId="0" applyAlignment="1" applyFill="1" applyFont="1" applyNumberFormat="1">
      <alignment horizontal="center" textRotation="45" vertical="center"/>
    </xf>
    <xf borderId="0" fillId="0" fontId="7" numFmtId="4" xfId="0" applyAlignment="1" applyFont="1" applyNumberFormat="1">
      <alignment horizontal="center" readingOrder="0" textRotation="45" vertical="center"/>
    </xf>
    <xf borderId="0" fillId="0" fontId="8" numFmtId="4" xfId="0" applyAlignment="1" applyFont="1" applyNumberFormat="1">
      <alignment horizontal="center" readingOrder="0" textRotation="45" vertical="center"/>
    </xf>
    <xf borderId="0" fillId="5" fontId="6" numFmtId="4" xfId="0" applyAlignment="1" applyFont="1" applyNumberFormat="1">
      <alignment horizontal="center" readingOrder="0" textRotation="45" vertical="center"/>
    </xf>
    <xf borderId="0" fillId="6" fontId="6" numFmtId="4" xfId="0" applyAlignment="1" applyFill="1" applyFont="1" applyNumberFormat="1">
      <alignment horizontal="center" textRotation="45" vertical="center"/>
    </xf>
    <xf borderId="0" fillId="7" fontId="6" numFmtId="4" xfId="0" applyAlignment="1" applyFill="1" applyFont="1" applyNumberFormat="1">
      <alignment horizontal="center" textRotation="45" vertical="center"/>
    </xf>
    <xf borderId="0" fillId="8" fontId="6" numFmtId="4" xfId="0" applyAlignment="1" applyFill="1" applyFont="1" applyNumberFormat="1">
      <alignment horizontal="center" textRotation="45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9" xfId="0" applyAlignment="1" applyFont="1" applyNumberFormat="1">
      <alignment horizontal="center" readingOrder="0" textRotation="45" vertical="center"/>
    </xf>
    <xf borderId="0" fillId="5" fontId="13" numFmtId="9" xfId="0" applyAlignment="1" applyFont="1" applyNumberFormat="1">
      <alignment horizontal="center" textRotation="45" vertical="center"/>
    </xf>
    <xf borderId="0" fillId="0" fontId="14" numFmtId="9" xfId="0" applyAlignment="1" applyFont="1" applyNumberFormat="1">
      <alignment horizontal="center" readingOrder="0" textRotation="45" vertical="center"/>
    </xf>
    <xf borderId="0" fillId="5" fontId="13" numFmtId="9" xfId="0" applyAlignment="1" applyFont="1" applyNumberFormat="1">
      <alignment horizontal="center" textRotation="45"/>
    </xf>
    <xf borderId="0" fillId="8" fontId="13" numFmtId="9" xfId="0" applyAlignment="1" applyFont="1" applyNumberFormat="1">
      <alignment horizontal="center" textRotation="45"/>
    </xf>
    <xf borderId="0" fillId="9" fontId="15" numFmtId="9" xfId="0" applyAlignment="1" applyFill="1" applyFont="1" applyNumberFormat="1">
      <alignment horizontal="center" textRotation="45"/>
    </xf>
    <xf borderId="0" fillId="4" fontId="4" numFmtId="0" xfId="0" applyAlignment="1" applyFont="1">
      <alignment horizontal="center" readingOrder="0" textRotation="90" vertical="center"/>
    </xf>
    <xf borderId="0" fillId="0" fontId="16" numFmtId="9" xfId="0" applyAlignment="1" applyFont="1" applyNumberFormat="1">
      <alignment horizontal="center" readingOrder="0" textRotation="0" vertical="center"/>
    </xf>
    <xf borderId="0" fillId="0" fontId="16" numFmtId="165" xfId="0" applyAlignment="1" applyFont="1" applyNumberFormat="1">
      <alignment horizontal="center" readingOrder="0" textRotation="0" vertical="center"/>
    </xf>
    <xf borderId="0" fillId="5" fontId="17" numFmtId="165" xfId="0" applyAlignment="1" applyFont="1" applyNumberFormat="1">
      <alignment horizontal="center" textRotation="0"/>
    </xf>
    <xf borderId="0" fillId="8" fontId="17" numFmtId="165" xfId="0" applyAlignment="1" applyFont="1" applyNumberFormat="1">
      <alignment horizontal="center" textRotation="0"/>
    </xf>
    <xf borderId="0" fillId="5" fontId="17" numFmtId="9" xfId="0" applyAlignment="1" applyFont="1" applyNumberFormat="1">
      <alignment horizontal="center" textRotation="0" vertical="center"/>
    </xf>
    <xf borderId="0" fillId="5" fontId="17" numFmtId="165" xfId="0" applyAlignment="1" applyFont="1" applyNumberFormat="1">
      <alignment horizontal="center" textRotation="0" vertical="center"/>
    </xf>
    <xf borderId="0" fillId="0" fontId="18" numFmtId="9" xfId="0" applyAlignment="1" applyFont="1" applyNumberFormat="1">
      <alignment horizontal="center" readingOrder="0" textRotation="0" vertical="center"/>
    </xf>
    <xf borderId="0" fillId="0" fontId="18" numFmtId="165" xfId="0" applyAlignment="1" applyFont="1" applyNumberFormat="1">
      <alignment horizontal="center" readingOrder="0" textRotation="0" vertical="center"/>
    </xf>
    <xf borderId="0" fillId="9" fontId="19" numFmtId="165" xfId="0" applyAlignment="1" applyFont="1" applyNumberFormat="1">
      <alignment horizontal="center" textRotation="0"/>
    </xf>
    <xf borderId="0" fillId="0" fontId="20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shrinkToFit="0" textRotation="0" vertical="center" wrapText="1"/>
    </xf>
    <xf borderId="0" fillId="2" fontId="21" numFmtId="164" xfId="0" applyAlignment="1" applyFont="1" applyNumberFormat="1">
      <alignment horizontal="center" readingOrder="0" vertical="center"/>
    </xf>
    <xf borderId="0" fillId="10" fontId="22" numFmtId="4" xfId="0" applyAlignment="1" applyFill="1" applyFont="1" applyNumberFormat="1">
      <alignment horizontal="center" readingOrder="0" textRotation="0" vertical="center"/>
    </xf>
    <xf borderId="0" fillId="10" fontId="23" numFmtId="4" xfId="0" applyAlignment="1" applyFont="1" applyNumberFormat="1">
      <alignment horizontal="center" readingOrder="0" textRotation="0" vertical="center"/>
    </xf>
    <xf borderId="0" fillId="10" fontId="24" numFmtId="4" xfId="0" applyAlignment="1" applyFont="1" applyNumberFormat="1">
      <alignment horizontal="center" textRotation="0" vertical="center"/>
    </xf>
    <xf borderId="0" fillId="10" fontId="24" numFmtId="4" xfId="0" applyAlignment="1" applyFont="1" applyNumberFormat="1">
      <alignment horizontal="center" readingOrder="0" textRotation="0" vertical="center"/>
    </xf>
    <xf borderId="0" fillId="0" fontId="25" numFmtId="0" xfId="0" applyAlignment="1" applyFont="1">
      <alignment horizontal="center" vertical="bottom"/>
    </xf>
    <xf borderId="0" fillId="4" fontId="26" numFmtId="0" xfId="0" applyAlignment="1" applyFont="1">
      <alignment horizontal="center" readingOrder="0" vertical="bottom"/>
    </xf>
    <xf borderId="0" fillId="0" fontId="26" numFmtId="0" xfId="0" applyAlignment="1" applyFont="1">
      <alignment horizontal="center" readingOrder="0" vertical="bottom"/>
    </xf>
    <xf borderId="0" fillId="2" fontId="27" numFmtId="164" xfId="0" applyAlignment="1" applyFont="1" applyNumberFormat="1">
      <alignment horizontal="center" vertical="bottom"/>
    </xf>
    <xf borderId="0" fillId="0" fontId="24" numFmtId="166" xfId="0" applyAlignment="1" applyFont="1" applyNumberFormat="1">
      <alignment horizontal="right" readingOrder="0" vertical="bottom"/>
    </xf>
    <xf borderId="0" fillId="0" fontId="24" numFmtId="9" xfId="0" applyAlignment="1" applyFont="1" applyNumberFormat="1">
      <alignment horizontal="center" vertical="bottom"/>
    </xf>
    <xf borderId="0" fillId="0" fontId="24" numFmtId="166" xfId="0" applyAlignment="1" applyFont="1" applyNumberFormat="1">
      <alignment horizontal="right" vertical="bottom"/>
    </xf>
    <xf borderId="0" fillId="2" fontId="28" numFmtId="164" xfId="0" applyAlignment="1" applyFont="1" applyNumberFormat="1">
      <alignment horizontal="center" readingOrder="0" vertical="bottom"/>
    </xf>
    <xf borderId="0" fillId="0" fontId="1" numFmtId="4" xfId="0" applyFont="1" applyNumberFormat="1"/>
    <xf borderId="0" fillId="10" fontId="23" numFmtId="4" xfId="0" applyAlignment="1" applyFont="1" applyNumberFormat="1">
      <alignment horizontal="right" readingOrder="0" textRotation="0" vertical="center"/>
    </xf>
    <xf borderId="0" fillId="0" fontId="29" numFmtId="0" xfId="0" applyAlignment="1" applyFont="1">
      <alignment readingOrder="0" shrinkToFit="0" vertical="bottom" wrapText="0"/>
    </xf>
    <xf borderId="0" fillId="0" fontId="30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67" xfId="0" applyFont="1" applyNumberFormat="1"/>
    <xf borderId="0" fillId="0" fontId="31" numFmtId="0" xfId="0" applyAlignment="1" applyFont="1">
      <alignment vertical="bottom"/>
    </xf>
    <xf borderId="0" fillId="10" fontId="23" numFmtId="4" xfId="0" applyAlignment="1" applyFont="1" applyNumberFormat="1">
      <alignment horizontal="right" textRotation="0" vertical="center"/>
    </xf>
    <xf borderId="0" fillId="0" fontId="1" numFmtId="168" xfId="0" applyFont="1" applyNumberFormat="1"/>
    <xf borderId="0" fillId="10" fontId="23" numFmtId="4" xfId="0" applyAlignment="1" applyFont="1" applyNumberFormat="1">
      <alignment horizontal="right" readingOrder="0" textRotation="0" vertical="center"/>
    </xf>
    <xf borderId="0" fillId="0" fontId="31" numFmtId="4" xfId="0" applyAlignment="1" applyFont="1" applyNumberFormat="1">
      <alignment horizontal="right" readingOrder="0" vertical="bottom"/>
    </xf>
    <xf borderId="0" fillId="0" fontId="31" numFmtId="165" xfId="0" applyAlignment="1" applyFont="1" applyNumberFormat="1">
      <alignment horizontal="right" vertical="bottom"/>
    </xf>
    <xf borderId="0" fillId="0" fontId="31" numFmtId="4" xfId="0" applyAlignment="1" applyFont="1" applyNumberFormat="1">
      <alignment horizontal="right" vertical="bottom"/>
    </xf>
    <xf borderId="0" fillId="0" fontId="32" numFmtId="0" xfId="0" applyAlignment="1" applyFont="1">
      <alignment horizontal="right" readingOrder="0"/>
    </xf>
    <xf borderId="0" fillId="0" fontId="31" numFmtId="4" xfId="0" applyAlignment="1" applyFont="1" applyNumberFormat="1">
      <alignment vertical="bottom"/>
    </xf>
    <xf borderId="0" fillId="0" fontId="32" numFmtId="0" xfId="0" applyAlignment="1" applyFont="1">
      <alignment horizontal="right"/>
    </xf>
    <xf borderId="0" fillId="0" fontId="33" numFmtId="0" xfId="0" applyFont="1"/>
    <xf borderId="0" fillId="0" fontId="34" numFmtId="4" xfId="0" applyFont="1" applyNumberFormat="1"/>
    <xf borderId="0" fillId="4" fontId="4" numFmtId="0" xfId="0" applyAlignment="1" applyFont="1">
      <alignment horizontal="left" readingOrder="0" shrinkToFit="0" textRotation="0" vertical="center" wrapText="1"/>
    </xf>
    <xf borderId="0" fillId="0" fontId="23" numFmtId="4" xfId="0" applyAlignment="1" applyFont="1" applyNumberFormat="1">
      <alignment readingOrder="0"/>
    </xf>
    <xf borderId="0" fillId="10" fontId="23" numFmtId="167" xfId="0" applyAlignment="1" applyFont="1" applyNumberFormat="1">
      <alignment horizontal="right" readingOrder="0" textRotation="0" vertical="center"/>
    </xf>
    <xf borderId="0" fillId="10" fontId="23" numFmtId="167" xfId="0" applyAlignment="1" applyFont="1" applyNumberFormat="1">
      <alignment horizontal="right" readingOrder="0" textRotation="0" vertical="center"/>
    </xf>
    <xf borderId="0" fillId="10" fontId="23" numFmtId="10" xfId="0" applyAlignment="1" applyFont="1" applyNumberFormat="1">
      <alignment horizontal="right" readingOrder="0" textRotation="0" vertical="center"/>
    </xf>
    <xf borderId="0" fillId="0" fontId="31" numFmtId="1" xfId="0" applyAlignment="1" applyFont="1" applyNumberFormat="1">
      <alignment horizontal="center" vertical="center"/>
    </xf>
    <xf borderId="0" fillId="2" fontId="35" numFmtId="0" xfId="0" applyAlignment="1" applyFont="1">
      <alignment horizontal="center" readingOrder="0" vertical="center"/>
    </xf>
    <xf borderId="0" fillId="10" fontId="23" numFmtId="169" xfId="0" applyAlignment="1" applyFont="1" applyNumberFormat="1">
      <alignment horizontal="right" readingOrder="0" textRotation="0" vertical="center"/>
    </xf>
    <xf borderId="0" fillId="10" fontId="23" numFmtId="3" xfId="0" applyAlignment="1" applyFont="1" applyNumberFormat="1">
      <alignment horizontal="right" readingOrder="0" textRotation="0" vertical="center"/>
    </xf>
    <xf borderId="0" fillId="10" fontId="23" numFmtId="169" xfId="0" applyAlignment="1" applyFont="1" applyNumberFormat="1">
      <alignment horizontal="left" readingOrder="0" textRotation="0" vertical="center"/>
    </xf>
    <xf borderId="0" fillId="10" fontId="23" numFmtId="3" xfId="0" applyAlignment="1" applyFont="1" applyNumberFormat="1">
      <alignment horizontal="left" readingOrder="0" textRotation="0" vertical="center"/>
    </xf>
    <xf borderId="0" fillId="0" fontId="31" numFmtId="0" xfId="0" applyAlignment="1" applyFont="1">
      <alignment horizontal="center" vertical="bottom"/>
    </xf>
    <xf borderId="0" fillId="0" fontId="3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31" numFmtId="168" xfId="0" applyAlignment="1" applyFont="1" applyNumberFormat="1">
      <alignment horizontal="right" vertical="bottom"/>
    </xf>
    <xf borderId="0" fillId="11" fontId="24" numFmtId="169" xfId="0" applyAlignment="1" applyFill="1" applyFont="1" applyNumberFormat="1">
      <alignment horizontal="right" textRotation="0"/>
    </xf>
    <xf borderId="0" fillId="0" fontId="1" numFmtId="0" xfId="0" applyAlignment="1" applyFont="1">
      <alignment horizontal="center" readingOrder="0"/>
    </xf>
    <xf borderId="0" fillId="0" fontId="36" numFmtId="0" xfId="0" applyAlignment="1" applyFont="1">
      <alignment horizontal="center" readingOrder="0" vertical="top"/>
    </xf>
    <xf borderId="0" fillId="0" fontId="37" numFmtId="0" xfId="0" applyAlignment="1" applyFont="1">
      <alignment horizontal="right" readingOrder="0" vertical="top"/>
    </xf>
    <xf borderId="1" fillId="12" fontId="38" numFmtId="0" xfId="0" applyAlignment="1" applyBorder="1" applyFill="1" applyFont="1">
      <alignment horizontal="center" vertical="bottom"/>
    </xf>
    <xf borderId="1" fillId="12" fontId="38" numFmtId="0" xfId="0" applyAlignment="1" applyBorder="1" applyFont="1">
      <alignment horizontal="center" vertical="bottom"/>
    </xf>
    <xf borderId="1" fillId="12" fontId="38" numFmtId="0" xfId="0" applyAlignment="1" applyBorder="1" applyFont="1">
      <alignment horizontal="center" readingOrder="0" vertical="bottom"/>
    </xf>
    <xf borderId="2" fillId="12" fontId="38" numFmtId="0" xfId="0" applyAlignment="1" applyBorder="1" applyFont="1">
      <alignment horizontal="center" readingOrder="0" vertical="bottom"/>
    </xf>
    <xf borderId="0" fillId="0" fontId="39" numFmtId="0" xfId="0" applyAlignment="1" applyFont="1">
      <alignment horizontal="center" readingOrder="0" vertical="top"/>
    </xf>
    <xf borderId="3" fillId="0" fontId="39" numFmtId="0" xfId="0" applyAlignment="1" applyBorder="1" applyFont="1">
      <alignment readingOrder="0" vertical="top"/>
    </xf>
    <xf borderId="4" fillId="13" fontId="40" numFmtId="3" xfId="0" applyAlignment="1" applyBorder="1" applyFill="1" applyFont="1" applyNumberFormat="1">
      <alignment horizontal="right"/>
    </xf>
    <xf borderId="4" fillId="0" fontId="39" numFmtId="3" xfId="0" applyAlignment="1" applyBorder="1" applyFont="1" applyNumberFormat="1">
      <alignment horizontal="right" readingOrder="0"/>
    </xf>
    <xf borderId="5" fillId="0" fontId="39" numFmtId="3" xfId="0" applyAlignment="1" applyBorder="1" applyFont="1" applyNumberFormat="1">
      <alignment horizontal="right" readingOrder="0"/>
    </xf>
    <xf borderId="6" fillId="0" fontId="39" numFmtId="0" xfId="0" applyAlignment="1" applyBorder="1" applyFont="1">
      <alignment readingOrder="0" vertical="top"/>
    </xf>
    <xf borderId="7" fillId="13" fontId="40" numFmtId="3" xfId="0" applyAlignment="1" applyBorder="1" applyFont="1" applyNumberFormat="1">
      <alignment horizontal="right"/>
    </xf>
    <xf borderId="7" fillId="0" fontId="39" numFmtId="3" xfId="0" applyAlignment="1" applyBorder="1" applyFont="1" applyNumberFormat="1">
      <alignment horizontal="right" readingOrder="0"/>
    </xf>
    <xf borderId="8" fillId="0" fontId="39" numFmtId="3" xfId="0" applyAlignment="1" applyBorder="1" applyFont="1" applyNumberFormat="1">
      <alignment horizontal="right" readingOrder="0"/>
    </xf>
    <xf borderId="9" fillId="0" fontId="39" numFmtId="0" xfId="0" applyAlignment="1" applyBorder="1" applyFont="1">
      <alignment readingOrder="0" vertical="top"/>
    </xf>
    <xf borderId="10" fillId="13" fontId="40" numFmtId="3" xfId="0" applyAlignment="1" applyBorder="1" applyFont="1" applyNumberFormat="1">
      <alignment horizontal="right"/>
    </xf>
    <xf borderId="10" fillId="0" fontId="39" numFmtId="3" xfId="0" applyAlignment="1" applyBorder="1" applyFont="1" applyNumberFormat="1">
      <alignment horizontal="right" readingOrder="0"/>
    </xf>
    <xf borderId="11" fillId="0" fontId="39" numFmtId="3" xfId="0" applyAlignment="1" applyBorder="1" applyFont="1" applyNumberFormat="1">
      <alignment horizontal="right" readingOrder="0"/>
    </xf>
    <xf borderId="9" fillId="0" fontId="39" numFmtId="0" xfId="0" applyAlignment="1" applyBorder="1" applyFont="1">
      <alignment vertical="top"/>
    </xf>
    <xf borderId="6" fillId="0" fontId="39" numFmtId="0" xfId="0" applyAlignment="1" applyBorder="1" applyFont="1">
      <alignment vertical="top"/>
    </xf>
    <xf borderId="10" fillId="13" fontId="41" numFmtId="3" xfId="0" applyAlignment="1" applyBorder="1" applyFont="1" applyNumberFormat="1">
      <alignment horizontal="right"/>
    </xf>
    <xf borderId="10" fillId="0" fontId="42" numFmtId="3" xfId="0" applyAlignment="1" applyBorder="1" applyFont="1" applyNumberFormat="1">
      <alignment horizontal="right"/>
    </xf>
    <xf borderId="11" fillId="0" fontId="42" numFmtId="3" xfId="0" applyAlignment="1" applyBorder="1" applyFont="1" applyNumberFormat="1">
      <alignment horizontal="right"/>
    </xf>
    <xf borderId="7" fillId="13" fontId="41" numFmtId="3" xfId="0" applyAlignment="1" applyBorder="1" applyFont="1" applyNumberFormat="1">
      <alignment horizontal="right"/>
    </xf>
    <xf borderId="7" fillId="0" fontId="42" numFmtId="3" xfId="0" applyAlignment="1" applyBorder="1" applyFont="1" applyNumberFormat="1">
      <alignment horizontal="right"/>
    </xf>
    <xf borderId="8" fillId="0" fontId="42" numFmtId="3" xfId="0" applyAlignment="1" applyBorder="1" applyFont="1" applyNumberFormat="1">
      <alignment horizontal="right"/>
    </xf>
    <xf borderId="12" fillId="0" fontId="39" numFmtId="0" xfId="0" applyAlignment="1" applyBorder="1" applyFont="1">
      <alignment readingOrder="0" vertical="top"/>
    </xf>
    <xf borderId="13" fillId="13" fontId="40" numFmtId="3" xfId="0" applyAlignment="1" applyBorder="1" applyFont="1" applyNumberFormat="1">
      <alignment horizontal="right"/>
    </xf>
    <xf borderId="13" fillId="0" fontId="39" numFmtId="3" xfId="0" applyAlignment="1" applyBorder="1" applyFont="1" applyNumberFormat="1">
      <alignment horizontal="right" readingOrder="0"/>
    </xf>
    <xf borderId="14" fillId="0" fontId="39" numFmtId="3" xfId="0" applyAlignment="1" applyBorder="1" applyFont="1" applyNumberFormat="1">
      <alignment horizontal="right" readingOrder="0"/>
    </xf>
    <xf borderId="0" fillId="3" fontId="39" numFmtId="0" xfId="0" applyAlignment="1" applyFont="1">
      <alignment horizontal="center" readingOrder="0" vertical="top"/>
    </xf>
    <xf borderId="0" fillId="3" fontId="39" numFmtId="0" xfId="0" applyAlignment="1" applyFont="1">
      <alignment horizontal="center" vertical="top"/>
    </xf>
    <xf borderId="15" fillId="0" fontId="39" numFmtId="0" xfId="0" applyAlignment="1" applyBorder="1" applyFont="1">
      <alignment vertical="top"/>
    </xf>
    <xf borderId="8" fillId="0" fontId="39" numFmtId="3" xfId="0" applyAlignment="1" applyBorder="1" applyFont="1" applyNumberFormat="1">
      <alignment horizontal="right"/>
    </xf>
    <xf borderId="0" fillId="0" fontId="43" numFmtId="0" xfId="0" applyAlignment="1" applyFont="1">
      <alignment horizontal="center" vertical="bottom"/>
    </xf>
    <xf borderId="16" fillId="0" fontId="43" numFmtId="0" xfId="0" applyAlignment="1" applyBorder="1" applyFont="1">
      <alignment horizontal="right" vertical="bottom"/>
    </xf>
    <xf borderId="7" fillId="13" fontId="44" numFmtId="3" xfId="0" applyAlignment="1" applyBorder="1" applyFont="1" applyNumberFormat="1">
      <alignment horizontal="right"/>
    </xf>
    <xf borderId="17" fillId="13" fontId="40" numFmtId="3" xfId="0" applyAlignment="1" applyBorder="1" applyFont="1" applyNumberFormat="1">
      <alignment horizontal="right"/>
    </xf>
    <xf borderId="0" fillId="2" fontId="45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45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'Página3'!$B$1</c:f>
            </c:strRef>
          </c:tx>
          <c:spPr>
            <a:solidFill>
              <a:schemeClr val="accent6">
                <a:alpha val="0"/>
              </a:schemeClr>
            </a:solidFill>
            <a:ln cmpd="sng" w="47625">
              <a:solidFill>
                <a:schemeClr val="accent6"/>
              </a:solidFill>
              <a:prstDash val="solid"/>
            </a:ln>
          </c:spPr>
          <c:dLbls>
            <c:numFmt formatCode="0%" sourceLinked="0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'Página3'!$A$2:$A$30</c:f>
            </c:strRef>
          </c:cat>
          <c:val>
            <c:numRef>
              <c:f>'Página3'!$B$2:$B$30</c:f>
              <c:numCache/>
            </c:numRef>
          </c:val>
        </c:ser>
        <c:ser>
          <c:idx val="1"/>
          <c:order val="1"/>
          <c:tx>
            <c:strRef>
              <c:f>'Página3'!$C$1</c:f>
            </c:strRef>
          </c:tx>
          <c:spPr>
            <a:solidFill>
              <a:srgbClr val="EA4335">
                <a:alpha val="0"/>
              </a:srgbClr>
            </a:solidFill>
            <a:ln cmpd="sng" w="47625">
              <a:solidFill>
                <a:srgbClr val="EA4335">
                  <a:alpha val="100000"/>
                </a:srgbClr>
              </a:solidFill>
              <a:prstDash val="solid"/>
            </a:ln>
          </c:spPr>
          <c:dLbls>
            <c:numFmt formatCode="0%" sourceLinked="0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'Página3'!$A$2:$A$30</c:f>
            </c:strRef>
          </c:cat>
          <c:val>
            <c:numRef>
              <c:f>'Página3'!$C$2:$C$30</c:f>
              <c:numCache/>
            </c:numRef>
          </c:val>
        </c:ser>
        <c:ser>
          <c:idx val="2"/>
          <c:order val="2"/>
          <c:tx>
            <c:strRef>
              <c:f>'Página3'!$D$1</c:f>
            </c:strRef>
          </c:tx>
          <c:spPr>
            <a:solidFill>
              <a:schemeClr val="accent3">
                <a:alpha val="0"/>
              </a:schemeClr>
            </a:solidFill>
            <a:ln cmpd="sng" w="47625">
              <a:solidFill>
                <a:schemeClr val="accent3"/>
              </a:solidFill>
              <a:prstDash val="solid"/>
            </a:ln>
          </c:spPr>
          <c:dLbls>
            <c:numFmt formatCode="0%" sourceLinked="0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'Página3'!$A$2:$A$30</c:f>
            </c:strRef>
          </c:cat>
          <c:val>
            <c:numRef>
              <c:f>'Página3'!$D$2:$D$30</c:f>
              <c:numCache/>
            </c:numRef>
          </c:val>
        </c:ser>
        <c:ser>
          <c:idx val="3"/>
          <c:order val="3"/>
          <c:tx>
            <c:strRef>
              <c:f>'Página3'!$F$1</c:f>
            </c:strRef>
          </c:tx>
          <c:spPr>
            <a:solidFill>
              <a:schemeClr val="accent1">
                <a:alpha val="0"/>
              </a:schemeClr>
            </a:solidFill>
            <a:ln cmpd="sng" w="47625">
              <a:solidFill>
                <a:schemeClr val="accent1"/>
              </a:solidFill>
              <a:prstDash val="solid"/>
            </a:ln>
          </c:spPr>
          <c:dLbls>
            <c:numFmt formatCode="0%" sourceLinked="0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'Página3'!$A$2:$A$30</c:f>
            </c:strRef>
          </c:cat>
          <c:val>
            <c:numRef>
              <c:f>'Página3'!$F$2:$F$30</c:f>
              <c:numCache/>
            </c:numRef>
          </c:val>
        </c:ser>
        <c:ser>
          <c:idx val="4"/>
          <c:order val="4"/>
          <c:tx>
            <c:strRef>
              <c:f>'Página3'!$E$1</c:f>
            </c:strRef>
          </c:tx>
          <c:spPr>
            <a:solidFill>
              <a:schemeClr val="accent5">
                <a:alpha val="0"/>
              </a:schemeClr>
            </a:solidFill>
            <a:ln cmpd="sng" w="47625">
              <a:solidFill>
                <a:schemeClr val="accent5"/>
              </a:solidFill>
              <a:prstDash val="solid"/>
            </a:ln>
          </c:spPr>
          <c:dLbls>
            <c:numFmt formatCode="0%" sourceLinked="0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'Página3'!$A$2:$A$30</c:f>
            </c:strRef>
          </c:cat>
          <c:val>
            <c:numRef>
              <c:f>'Página3'!$E$2:$E$30</c:f>
              <c:numCache/>
            </c:numRef>
          </c:val>
        </c:ser>
        <c:ser>
          <c:idx val="5"/>
          <c:order val="5"/>
          <c:tx>
            <c:strRef>
              <c:f>'Página3'!$G$1</c:f>
            </c:strRef>
          </c:tx>
          <c:spPr>
            <a:solidFill>
              <a:schemeClr val="accent4">
                <a:alpha val="0"/>
              </a:schemeClr>
            </a:solidFill>
            <a:ln cmpd="sng" w="47625">
              <a:solidFill>
                <a:schemeClr val="accent4"/>
              </a:solidFill>
              <a:prstDash val="solid"/>
            </a:ln>
          </c:spPr>
          <c:dLbls>
            <c:numFmt formatCode="0%" sourceLinked="0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'Página3'!$A$2:$A$30</c:f>
            </c:strRef>
          </c:cat>
          <c:val>
            <c:numRef>
              <c:f>'Página3'!$G$2:$G$30</c:f>
              <c:numCache/>
            </c:numRef>
          </c:val>
        </c:ser>
        <c:axId val="1523824812"/>
        <c:axId val="974874729"/>
      </c:areaChart>
      <c:catAx>
        <c:axId val="15238248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874729"/>
      </c:catAx>
      <c:valAx>
        <c:axId val="974874729"/>
        <c:scaling>
          <c:orientation val="minMax"/>
          <c:max val="1.01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824812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96725" cy="5162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77" sheet="Página39"/>
  </cacheSource>
  <cacheFields>
    <cacheField name="Grupo" numFmtId="0">
      <sharedItems>
        <s v="Todos"/>
        <s v="Auditoria"/>
        <s v="Diplomacia"/>
        <s v="Financeiras"/>
        <s v="Governamentais"/>
        <s v="Jurídicas"/>
        <s v="Policial"/>
        <s v="Fazendárias"/>
        <s v="Congêneres"/>
      </sharedItems>
    </cacheField>
    <cacheField name="Órgão/Carreira" numFmtId="0">
      <sharedItems>
        <s v="CPF"/>
        <s v="CTARFB"/>
        <s v="CAFT"/>
        <s v="SEB"/>
        <s v="CEBCB"/>
        <s v="PCC-CVM"/>
        <s v="PCC-SUSEP"/>
        <s v="CFC"/>
        <s v="PCC-IPEA"/>
        <s v="CACE"/>
        <s v="CEPPGG"/>
        <s v="CPO"/>
        <s v="AGU"/>
        <s v="SERFB"/>
        <s v="SIT"/>
        <s v="MRE"/>
        <s v="BCB"/>
        <s v="CVM"/>
        <s v="SUSEP"/>
        <s v="CGU"/>
        <s v="IPEA"/>
        <s v="MDIC"/>
        <s v="MGI"/>
        <s v="SOF"/>
        <s v="STN"/>
        <s v="PGU"/>
        <s v="PGF"/>
        <s v="PGBCB"/>
        <s v="PGFN"/>
        <s v="PF"/>
        <s v="CPFN"/>
      </sharedItems>
    </cacheField>
    <cacheField name="Cargo" numFmtId="0">
      <sharedItems>
        <s v="APF"/>
        <s v="DPF"/>
        <s v="EPF"/>
        <s v="PCF"/>
        <s v="PPF"/>
        <s v="AFRFB"/>
        <s v="ATRFB"/>
        <s v="AFT"/>
        <s v="AsChan"/>
        <s v="Diplomata"/>
        <s v="OfChan"/>
        <s v="ABCB"/>
        <s v="TBCB"/>
        <s v="AE-CVM"/>
        <s v="An-CVM"/>
        <s v="In-CVM"/>
        <s v="AE-SUSEP"/>
        <s v="AT-SUSEP"/>
        <s v="AFFC"/>
        <s v="TFFC"/>
        <s v="TPP-IPEA"/>
        <s v="ACE"/>
        <s v="EPPGG"/>
        <s v="APO"/>
        <s v="TPO"/>
        <s v="AU"/>
        <s v="PF"/>
        <s v="PBCB"/>
        <s v="PFN"/>
        <s v="APF_0"/>
        <s v="APF_1"/>
        <s v="APF_2"/>
        <s v="APF_3"/>
        <s v="DPF_0"/>
        <s v="DPF_1"/>
        <s v="DPF_2"/>
        <s v="DPF_3"/>
        <s v="ECF_0"/>
        <s v="ECF_1"/>
        <s v="ECF_2"/>
        <s v="ECF_3"/>
        <s v="PCF_0"/>
        <s v="PCF_1"/>
        <s v="PCF_2"/>
        <s v="PCF_3"/>
        <s v="PPF_0"/>
        <s v="PPF_1"/>
        <s v="PPF_2"/>
        <s v="PPF_3"/>
      </sharedItems>
    </cacheField>
    <cacheField name="Situação" numFmtId="0">
      <sharedItems>
        <s v="apos."/>
        <s v="ativ."/>
        <s v="pens."/>
      </sharedItems>
    </cacheField>
    <cacheField name="Quantidade" numFmtId="3">
      <sharedItems containsSemiMixedTypes="0" containsString="0" containsNumber="1" containsInteger="1">
        <n v="3759.0"/>
        <n v="6956.0"/>
        <n v="2268.0"/>
        <n v="1089.0"/>
        <n v="1963.0"/>
        <n v="361.0"/>
        <n v="881.0"/>
        <n v="2366.0"/>
        <n v="111.0"/>
        <n v="383.0"/>
        <n v="1144.0"/>
        <n v="88.0"/>
        <n v="207.0"/>
        <n v="555.0"/>
        <n v="71.0"/>
        <n v="11187.0"/>
        <n v="7422.0"/>
        <n v="7852.0"/>
        <n v="4412.0"/>
        <n v="6239.0"/>
        <n v="1939.0"/>
        <n v="3023.0"/>
        <n v="1907.0"/>
        <n v="1155.0"/>
        <n v="404.0"/>
        <n v="360.0"/>
        <n v="116.0"/>
        <n v="385.0"/>
        <n v="1579.0"/>
        <n v="253.0"/>
        <n v="448.0"/>
        <n v="749.0"/>
        <n v="113.0"/>
        <n v="4714.0"/>
        <n v="2829.0"/>
        <n v="642.0"/>
        <n v="506.0"/>
        <n v="431.0"/>
        <n v="136.0"/>
        <n v="84.0"/>
        <n v="97.0"/>
        <n v="8.0"/>
        <n v="96.0"/>
        <n v="203.0"/>
        <n v="22.0"/>
        <n v="46.0"/>
        <n v="92.0"/>
        <n v="14.0"/>
        <n v="94.0"/>
        <n v="56.0"/>
        <n v="31.0"/>
        <n v="130.0"/>
        <n v="268.0"/>
        <n v="36.0"/>
        <n v="1262.0"/>
        <n v="2619.0"/>
        <n v="1088.0"/>
        <n v="393.0"/>
        <n v="321.0"/>
        <n v="278.0"/>
        <n v="187.0"/>
        <n v="67.0"/>
        <n v="34.0"/>
        <n v="389.0"/>
        <n v="10.0"/>
        <n v="114.0"/>
        <n v="916.0"/>
        <n v="16.0"/>
        <n v="375.0"/>
        <n v="502.0"/>
        <n v="72.0"/>
        <n v="201.0"/>
        <n v="40.0"/>
        <n v="28.0"/>
        <n v="850.0"/>
        <n v="1627.0"/>
        <n v="222.0"/>
        <n v="2938.0"/>
        <n v="3609.0"/>
        <n v="1610.0"/>
        <n v="102.0"/>
        <n v="160.0"/>
        <n v="18.0"/>
        <n v="371.0"/>
        <n v="2044.0"/>
        <n v="110.0"/>
        <n v="1812.0"/>
        <n v="66.0"/>
        <n v="526.0"/>
        <n v="322.0"/>
        <n v="47.0"/>
        <n v="814.0"/>
        <n v="807.0"/>
        <n v="365.0"/>
        <n v="562.0"/>
        <n v="274.0"/>
        <n v="3631.0"/>
        <n v="4048.0"/>
        <n v="1523.0"/>
        <n v="979.0"/>
        <n v="567.0"/>
        <n v="30.0"/>
        <n v="529.0"/>
        <n v="167.0"/>
        <n v="1.0"/>
        <n v="1400.0"/>
        <n v="11.0"/>
        <n v="999.0"/>
        <n v="1243.0"/>
        <n v="80.0"/>
        <n v="151.0"/>
        <n v="57.0"/>
        <n v="301.0"/>
        <n v="27.0"/>
        <n v="0.0"/>
        <n v="3.0"/>
        <n v="851.0"/>
        <n v="1211.0"/>
        <n v="26.0"/>
        <n v="344.0"/>
        <n v="17.0"/>
        <n v="4.0"/>
        <n v="148.0"/>
        <n v="663.0"/>
        <n v="2.0"/>
        <n v="364.0"/>
        <n v="894.0"/>
        <n v="68.0"/>
        <n v="99.0"/>
        <n v="5.0"/>
        <n v="135.0"/>
        <n v="6.0"/>
        <n v="318.0"/>
        <n v="91.0"/>
        <n v="42.0"/>
        <n v="10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ágina40" cacheId="0" dataCaption="" compact="0" compactData="0">
  <location ref="A3:E18" firstHeaderRow="0" firstDataRow="1" firstDataCol="1" rowPageCount="1" colPageCount="1"/>
  <pivotFields>
    <pivotField name="Grupo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name="Órgão/Carreira" axis="axisRow" compact="0" outline="0" multipleItemSelectionAllowed="1" showAll="0" sortType="ascending">
      <items>
        <item x="12"/>
        <item x="16"/>
        <item x="9"/>
        <item x="2"/>
        <item x="4"/>
        <item x="10"/>
        <item x="7"/>
        <item x="19"/>
        <item x="0"/>
        <item x="30"/>
        <item x="11"/>
        <item x="1"/>
        <item x="17"/>
        <item x="20"/>
        <item x="21"/>
        <item x="22"/>
        <item x="15"/>
        <item x="5"/>
        <item x="8"/>
        <item x="6"/>
        <item x="29"/>
        <item x="27"/>
        <item x="26"/>
        <item x="28"/>
        <item x="25"/>
        <item x="3"/>
        <item x="13"/>
        <item x="14"/>
        <item x="23"/>
        <item x="24"/>
        <item x="18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ituação" axis="axisCol" compact="0" outline="0" multipleItemSelectionAllowed="1" showAll="0" sortType="ascending">
      <items>
        <item x="0"/>
        <item x="1"/>
        <item x="2"/>
        <item t="default"/>
      </items>
    </pivotField>
    <pivotField name="Quantidad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1"/>
  </rowFields>
  <colFields>
    <field x="3"/>
  </colFields>
  <pageFields>
    <pageField fld="0"/>
  </pageFields>
  <dataFields>
    <dataField name="SUM of Quantidad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genciabrasil.ebc.com.br/economia/noticia/2024-01/inflacao-deve-fechar-este-ano-em-387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6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genciabrasil.ebc.com.br/economia/noticia/2024-01/inflacao-deve-fechar-este-ano-em-387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5" width="14.5"/>
  </cols>
  <sheetData>
    <row r="1">
      <c r="A1" s="32" t="s">
        <v>9</v>
      </c>
      <c r="B1" s="33" t="str">
        <f>'Página8'!B1</f>
        <v>STF (bruto)</v>
      </c>
      <c r="C1" s="33" t="str">
        <f>'Página8'!C1</f>
        <v>PFN (bruto)</v>
      </c>
      <c r="D1" s="33" t="str">
        <f>'Página8'!D1</f>
        <v>DPF (bruto)</v>
      </c>
      <c r="E1" s="33" t="str">
        <f>'Página8'!E1</f>
        <v>AFRFB (bruto)</v>
      </c>
      <c r="F1" s="33" t="str">
        <f>'Página8'!F1</f>
        <v>ATRFB (bruto)</v>
      </c>
      <c r="G1" s="33" t="str">
        <f>'Página8'!G1</f>
        <v>AFFC (bruto)</v>
      </c>
      <c r="H1" s="33" t="str">
        <f>'Página8'!H1</f>
        <v>TFFC (bruto)</v>
      </c>
      <c r="I1" s="33" t="str">
        <f>'Página8'!I1</f>
        <v>STF (líquido)</v>
      </c>
      <c r="J1" s="33" t="str">
        <f>'Página8'!J1</f>
        <v>PFN (líquido)</v>
      </c>
      <c r="K1" s="33" t="str">
        <f>'Página8'!K1</f>
        <v>DPF (líquido)</v>
      </c>
      <c r="L1" s="33" t="str">
        <f>'Página8'!L1</f>
        <v>AFRFB (líquido)</v>
      </c>
      <c r="M1" s="33" t="str">
        <f>'Página8'!M1</f>
        <v>ATRFB (líquido)</v>
      </c>
      <c r="N1" s="33" t="str">
        <f>'Página8'!N1</f>
        <v>AFFC (líquido)</v>
      </c>
      <c r="O1" s="33" t="str">
        <f>'Página8'!O1</f>
        <v>TFFC (líquido)</v>
      </c>
    </row>
    <row r="2">
      <c r="A2" s="34">
        <v>42370.0</v>
      </c>
      <c r="B2" s="48">
        <f>'Página8'!B2</f>
        <v>33763</v>
      </c>
      <c r="C2" s="48">
        <f>'Página8'!C2</f>
        <v>22516.94</v>
      </c>
      <c r="D2" s="48">
        <f>'Página8'!D2</f>
        <v>22805</v>
      </c>
      <c r="E2" s="48">
        <f>'Página8'!E2</f>
        <v>22516.88</v>
      </c>
      <c r="F2" s="48">
        <f>'Página8'!F2</f>
        <v>13422.61</v>
      </c>
      <c r="G2" s="48">
        <f>'Página8'!G2</f>
        <v>21391.1</v>
      </c>
      <c r="H2" s="48">
        <f>'Página8'!H2</f>
        <v>9780.92</v>
      </c>
      <c r="I2" s="48">
        <f>'Página8'!I2</f>
        <v>22654.94</v>
      </c>
      <c r="J2" s="48">
        <f>'Página8'!J2</f>
        <v>15398.42</v>
      </c>
      <c r="K2" s="48">
        <f>'Página8'!K2</f>
        <v>15584.29</v>
      </c>
      <c r="L2" s="48">
        <f>'Página8'!L2</f>
        <v>15398.37</v>
      </c>
      <c r="M2" s="48">
        <f>'Página8'!M2</f>
        <v>9530.3</v>
      </c>
      <c r="N2" s="48">
        <f>'Página8'!N2</f>
        <v>14671.97</v>
      </c>
      <c r="O2" s="48">
        <f>'Página8'!O2</f>
        <v>7180.5</v>
      </c>
    </row>
    <row r="3">
      <c r="A3" s="34">
        <v>42401.0</v>
      </c>
      <c r="B3" s="48">
        <f>B2+'Página8'!B3</f>
        <v>67526</v>
      </c>
      <c r="C3" s="48">
        <f>C2+'Página8'!C3</f>
        <v>45033.88</v>
      </c>
      <c r="D3" s="48">
        <f>D2+'Página8'!D3</f>
        <v>45610</v>
      </c>
      <c r="E3" s="48">
        <f>E2+'Página8'!E3</f>
        <v>45033.76</v>
      </c>
      <c r="F3" s="48">
        <f>F2+'Página8'!F3</f>
        <v>26845.22</v>
      </c>
      <c r="G3" s="48">
        <f>G2+'Página8'!G3</f>
        <v>42782.2</v>
      </c>
      <c r="H3" s="48">
        <f>H2+'Página8'!H3</f>
        <v>19561.84</v>
      </c>
      <c r="I3" s="48">
        <f>I2+'Página8'!I3</f>
        <v>45309.88</v>
      </c>
      <c r="J3" s="48">
        <f>J2+'Página8'!J3</f>
        <v>30796.84</v>
      </c>
      <c r="K3" s="48">
        <f>K2+'Página8'!K3</f>
        <v>31168.58</v>
      </c>
      <c r="L3" s="48">
        <f>L2+'Página8'!L3</f>
        <v>30796.74</v>
      </c>
      <c r="M3" s="48">
        <f>M2+'Página8'!M3</f>
        <v>19060.6</v>
      </c>
      <c r="N3" s="48">
        <f>N2+'Página8'!N3</f>
        <v>29343.94</v>
      </c>
      <c r="O3" s="48">
        <f>O2+'Página8'!O3</f>
        <v>14361</v>
      </c>
    </row>
    <row r="4">
      <c r="A4" s="34">
        <v>42430.0</v>
      </c>
      <c r="B4" s="48">
        <f>B3+'Página8'!B4</f>
        <v>101289</v>
      </c>
      <c r="C4" s="48">
        <f>C3+'Página8'!C4</f>
        <v>67550.82</v>
      </c>
      <c r="D4" s="48">
        <f>D3+'Página8'!D4</f>
        <v>68415</v>
      </c>
      <c r="E4" s="48">
        <f>E3+'Página8'!E4</f>
        <v>67550.64</v>
      </c>
      <c r="F4" s="48">
        <f>F3+'Página8'!F4</f>
        <v>40267.83</v>
      </c>
      <c r="G4" s="48">
        <f>G3+'Página8'!G4</f>
        <v>64173.3</v>
      </c>
      <c r="H4" s="48">
        <f>H3+'Página8'!H4</f>
        <v>29342.76</v>
      </c>
      <c r="I4" s="48">
        <f>I3+'Página8'!I4</f>
        <v>67964.82</v>
      </c>
      <c r="J4" s="48">
        <f>J3+'Página8'!J4</f>
        <v>46195.26</v>
      </c>
      <c r="K4" s="48">
        <f>K3+'Página8'!K4</f>
        <v>46752.87</v>
      </c>
      <c r="L4" s="48">
        <f>L3+'Página8'!L4</f>
        <v>46195.11</v>
      </c>
      <c r="M4" s="48">
        <f>M3+'Página8'!M4</f>
        <v>28590.9</v>
      </c>
      <c r="N4" s="48">
        <f>N3+'Página8'!N4</f>
        <v>44015.91</v>
      </c>
      <c r="O4" s="48">
        <f>O3+'Página8'!O4</f>
        <v>21541.5</v>
      </c>
    </row>
    <row r="5">
      <c r="A5" s="34">
        <v>42461.0</v>
      </c>
      <c r="B5" s="48">
        <f>B4+'Página8'!B5</f>
        <v>135052</v>
      </c>
      <c r="C5" s="48">
        <f>C4+'Página8'!C5</f>
        <v>90067.76</v>
      </c>
      <c r="D5" s="48">
        <f>D4+'Página8'!D5</f>
        <v>91220</v>
      </c>
      <c r="E5" s="48">
        <f>E4+'Página8'!E5</f>
        <v>90067.52</v>
      </c>
      <c r="F5" s="48">
        <f>F4+'Página8'!F5</f>
        <v>53690.44</v>
      </c>
      <c r="G5" s="48">
        <f>G4+'Página8'!G5</f>
        <v>85564.4</v>
      </c>
      <c r="H5" s="48">
        <f>H4+'Página8'!H5</f>
        <v>39123.68</v>
      </c>
      <c r="I5" s="48">
        <f>I4+'Página8'!I5</f>
        <v>90619.76</v>
      </c>
      <c r="J5" s="48">
        <f>J4+'Página8'!J5</f>
        <v>61593.68</v>
      </c>
      <c r="K5" s="48">
        <f>K4+'Página8'!K5</f>
        <v>62337.16</v>
      </c>
      <c r="L5" s="48">
        <f>L4+'Página8'!L5</f>
        <v>61593.48</v>
      </c>
      <c r="M5" s="48">
        <f>M4+'Página8'!M5</f>
        <v>38121.2</v>
      </c>
      <c r="N5" s="48">
        <f>N4+'Página8'!N5</f>
        <v>58687.88</v>
      </c>
      <c r="O5" s="48">
        <f>O4+'Página8'!O5</f>
        <v>28722</v>
      </c>
    </row>
    <row r="6">
      <c r="A6" s="34">
        <v>42491.0</v>
      </c>
      <c r="B6" s="48">
        <f>B5+'Página8'!B6</f>
        <v>168815</v>
      </c>
      <c r="C6" s="48">
        <f>C5+'Página8'!C6</f>
        <v>112584.7</v>
      </c>
      <c r="D6" s="48">
        <f>D5+'Página8'!D6</f>
        <v>114025</v>
      </c>
      <c r="E6" s="48">
        <f>E5+'Página8'!E6</f>
        <v>112584.4</v>
      </c>
      <c r="F6" s="48">
        <f>F5+'Página8'!F6</f>
        <v>67113.05</v>
      </c>
      <c r="G6" s="48">
        <f>G5+'Página8'!G6</f>
        <v>106955.5</v>
      </c>
      <c r="H6" s="48">
        <f>H5+'Página8'!H6</f>
        <v>48904.6</v>
      </c>
      <c r="I6" s="48">
        <f>I5+'Página8'!I6</f>
        <v>113274.7</v>
      </c>
      <c r="J6" s="48">
        <f>J5+'Página8'!J6</f>
        <v>76992.1</v>
      </c>
      <c r="K6" s="48">
        <f>K5+'Página8'!K6</f>
        <v>77921.45</v>
      </c>
      <c r="L6" s="48">
        <f>L5+'Página8'!L6</f>
        <v>76991.85</v>
      </c>
      <c r="M6" s="48">
        <f>M5+'Página8'!M6</f>
        <v>47651.5</v>
      </c>
      <c r="N6" s="48">
        <f>N5+'Página8'!N6</f>
        <v>73359.85</v>
      </c>
      <c r="O6" s="48">
        <f>O5+'Página8'!O6</f>
        <v>35902.5</v>
      </c>
    </row>
    <row r="7">
      <c r="A7" s="34">
        <v>42522.0</v>
      </c>
      <c r="B7" s="48">
        <f>B6+'Página8'!B7</f>
        <v>202578</v>
      </c>
      <c r="C7" s="48">
        <f>C6+'Página8'!C7</f>
        <v>135101.64</v>
      </c>
      <c r="D7" s="48">
        <f>D6+'Página8'!D7</f>
        <v>136830</v>
      </c>
      <c r="E7" s="48">
        <f>E6+'Página8'!E7</f>
        <v>135101.28</v>
      </c>
      <c r="F7" s="48">
        <f>F6+'Página8'!F7</f>
        <v>80535.66</v>
      </c>
      <c r="G7" s="48">
        <f>G6+'Página8'!G7</f>
        <v>128346.6</v>
      </c>
      <c r="H7" s="48">
        <f>H6+'Página8'!H7</f>
        <v>58685.52</v>
      </c>
      <c r="I7" s="48">
        <f>I6+'Página8'!I7</f>
        <v>135929.64</v>
      </c>
      <c r="J7" s="48">
        <f>J6+'Página8'!J7</f>
        <v>92390.52</v>
      </c>
      <c r="K7" s="48">
        <f>K6+'Página8'!K7</f>
        <v>93505.74</v>
      </c>
      <c r="L7" s="48">
        <f>L6+'Página8'!L7</f>
        <v>92390.22</v>
      </c>
      <c r="M7" s="48">
        <f>M6+'Página8'!M7</f>
        <v>57181.8</v>
      </c>
      <c r="N7" s="48">
        <f>N6+'Página8'!N7</f>
        <v>88031.82</v>
      </c>
      <c r="O7" s="48">
        <f>O6+'Página8'!O7</f>
        <v>43083</v>
      </c>
    </row>
    <row r="8">
      <c r="A8" s="34">
        <v>42552.0</v>
      </c>
      <c r="B8" s="48">
        <f>B7+'Página8'!B8</f>
        <v>236341</v>
      </c>
      <c r="C8" s="48">
        <f>C7+'Página8'!C8</f>
        <v>157618.58</v>
      </c>
      <c r="D8" s="48">
        <f>D7+'Página8'!D8</f>
        <v>159635</v>
      </c>
      <c r="E8" s="48">
        <f>E7+'Página8'!E8</f>
        <v>157618.16</v>
      </c>
      <c r="F8" s="48">
        <f>F7+'Página8'!F8</f>
        <v>93958.27</v>
      </c>
      <c r="G8" s="48">
        <f>G7+'Página8'!G8</f>
        <v>149737.7</v>
      </c>
      <c r="H8" s="48">
        <f>H7+'Página8'!H8</f>
        <v>68466.44</v>
      </c>
      <c r="I8" s="48">
        <f>I7+'Página8'!I8</f>
        <v>158584.58</v>
      </c>
      <c r="J8" s="48">
        <f>J7+'Página8'!J8</f>
        <v>107788.94</v>
      </c>
      <c r="K8" s="48">
        <f>K7+'Página8'!K8</f>
        <v>109090.03</v>
      </c>
      <c r="L8" s="48">
        <f>L7+'Página8'!L8</f>
        <v>107788.59</v>
      </c>
      <c r="M8" s="48">
        <f>M7+'Página8'!M8</f>
        <v>66712.1</v>
      </c>
      <c r="N8" s="48">
        <f>N7+'Página8'!N8</f>
        <v>102703.79</v>
      </c>
      <c r="O8" s="48">
        <f>O7+'Página8'!O8</f>
        <v>50263.5</v>
      </c>
    </row>
    <row r="9">
      <c r="A9" s="34">
        <v>42583.0</v>
      </c>
      <c r="B9" s="48">
        <f>B8+'Página8'!B9</f>
        <v>270104</v>
      </c>
      <c r="C9" s="48">
        <f>C8+'Página8'!C9</f>
        <v>184073.95</v>
      </c>
      <c r="D9" s="48">
        <f>D8+'Página8'!D9</f>
        <v>182440</v>
      </c>
      <c r="E9" s="48">
        <f>E8+'Página8'!E9</f>
        <v>180135.04</v>
      </c>
      <c r="F9" s="48">
        <f>F8+'Página8'!F9</f>
        <v>107380.88</v>
      </c>
      <c r="G9" s="48">
        <f>G8+'Página8'!G9</f>
        <v>172305.31</v>
      </c>
      <c r="H9" s="48">
        <f>H8+'Página8'!H9</f>
        <v>78785.31</v>
      </c>
      <c r="I9" s="48">
        <f>I8+'Página8'!I9</f>
        <v>181239.52</v>
      </c>
      <c r="J9" s="48">
        <f>J8+'Página8'!J9</f>
        <v>125943.95</v>
      </c>
      <c r="K9" s="48">
        <f>K8+'Página8'!K9</f>
        <v>124674.32</v>
      </c>
      <c r="L9" s="48">
        <f>L8+'Página8'!L9</f>
        <v>123186.96</v>
      </c>
      <c r="M9" s="48">
        <f>M8+'Página8'!M9</f>
        <v>76242.4</v>
      </c>
      <c r="N9" s="48">
        <f>N8+'Página8'!N9</f>
        <v>118134.9</v>
      </c>
      <c r="O9" s="48">
        <f>O8+'Página8'!O9</f>
        <v>57791.11</v>
      </c>
    </row>
    <row r="10">
      <c r="A10" s="34">
        <v>42614.0</v>
      </c>
      <c r="B10" s="48">
        <f>B9+'Página8'!B10</f>
        <v>303867</v>
      </c>
      <c r="C10" s="48">
        <f>C9+'Página8'!C10</f>
        <v>210529.32</v>
      </c>
      <c r="D10" s="48">
        <f>D9+'Página8'!D10</f>
        <v>205245</v>
      </c>
      <c r="E10" s="48">
        <f>E9+'Página8'!E10</f>
        <v>205351.92</v>
      </c>
      <c r="F10" s="48">
        <f>F9+'Página8'!F10</f>
        <v>122423.49</v>
      </c>
      <c r="G10" s="48">
        <f>G9+'Página8'!G10</f>
        <v>194872.92</v>
      </c>
      <c r="H10" s="48">
        <f>H9+'Página8'!H10</f>
        <v>89104.18</v>
      </c>
      <c r="I10" s="48">
        <f>I9+'Página8'!I10</f>
        <v>203894.46</v>
      </c>
      <c r="J10" s="48">
        <f>J9+'Página8'!J10</f>
        <v>144098.96</v>
      </c>
      <c r="K10" s="48">
        <f>K9+'Página8'!K10</f>
        <v>140258.61</v>
      </c>
      <c r="L10" s="48">
        <f>L9+'Página8'!L10</f>
        <v>140542.83</v>
      </c>
      <c r="M10" s="48">
        <f>M9+'Página8'!M10</f>
        <v>86947.2</v>
      </c>
      <c r="N10" s="48">
        <f>N9+'Página8'!N10</f>
        <v>133566.01</v>
      </c>
      <c r="O10" s="48">
        <f>O9+'Página8'!O10</f>
        <v>65318.72</v>
      </c>
    </row>
    <row r="11">
      <c r="A11" s="34">
        <v>42644.0</v>
      </c>
      <c r="B11" s="48">
        <f>B10+'Página8'!B11</f>
        <v>337630</v>
      </c>
      <c r="C11" s="48">
        <f>C10+'Página8'!C11</f>
        <v>236984.69</v>
      </c>
      <c r="D11" s="48">
        <f>D10+'Página8'!D11</f>
        <v>228050</v>
      </c>
      <c r="E11" s="48">
        <f>E10+'Página8'!E11</f>
        <v>230568.8</v>
      </c>
      <c r="F11" s="48">
        <f>F10+'Página8'!F11</f>
        <v>137466.1</v>
      </c>
      <c r="G11" s="48">
        <f>G10+'Página8'!G11</f>
        <v>217440.53</v>
      </c>
      <c r="H11" s="48">
        <f>H10+'Página8'!H11</f>
        <v>99423.05</v>
      </c>
      <c r="I11" s="48">
        <f>I10+'Página8'!I11</f>
        <v>226549.4</v>
      </c>
      <c r="J11" s="48">
        <f>J10+'Página8'!J11</f>
        <v>162253.97</v>
      </c>
      <c r="K11" s="48">
        <f>K10+'Página8'!K11</f>
        <v>155842.9</v>
      </c>
      <c r="L11" s="48">
        <f>L10+'Página8'!L11</f>
        <v>157898.7</v>
      </c>
      <c r="M11" s="48">
        <f>M10+'Página8'!M11</f>
        <v>97652</v>
      </c>
      <c r="N11" s="48">
        <f>N10+'Página8'!N11</f>
        <v>148997.12</v>
      </c>
      <c r="O11" s="48">
        <f>O10+'Página8'!O11</f>
        <v>72846.33</v>
      </c>
    </row>
    <row r="12">
      <c r="A12" s="34">
        <v>42675.0</v>
      </c>
      <c r="B12" s="48">
        <f>B11+'Página8'!B12</f>
        <v>371393</v>
      </c>
      <c r="C12" s="48">
        <f>C11+'Página8'!C12</f>
        <v>263440.06</v>
      </c>
      <c r="D12" s="48">
        <f>D11+'Página8'!D12</f>
        <v>250855</v>
      </c>
      <c r="E12" s="48">
        <f>E11+'Página8'!E12</f>
        <v>255785.68</v>
      </c>
      <c r="F12" s="48">
        <f>F11+'Página8'!F12</f>
        <v>152508.71</v>
      </c>
      <c r="G12" s="48">
        <f>G11+'Página8'!G12</f>
        <v>240008.14</v>
      </c>
      <c r="H12" s="48">
        <f>H11+'Página8'!H12</f>
        <v>109741.92</v>
      </c>
      <c r="I12" s="48">
        <f>I11+'Página8'!I12</f>
        <v>249204.34</v>
      </c>
      <c r="J12" s="48">
        <f>J11+'Página8'!J12</f>
        <v>180408.98</v>
      </c>
      <c r="K12" s="48">
        <f>K11+'Página8'!K12</f>
        <v>171427.19</v>
      </c>
      <c r="L12" s="48">
        <f>L11+'Página8'!L12</f>
        <v>175254.57</v>
      </c>
      <c r="M12" s="48">
        <f>M11+'Página8'!M12</f>
        <v>108356.8</v>
      </c>
      <c r="N12" s="48">
        <f>N11+'Página8'!N12</f>
        <v>164428.23</v>
      </c>
      <c r="O12" s="48">
        <f>O11+'Página8'!O12</f>
        <v>80373.94</v>
      </c>
    </row>
    <row r="13">
      <c r="A13" s="34">
        <v>42705.0</v>
      </c>
      <c r="B13" s="48">
        <f>B12+'Página8'!B13</f>
        <v>450162.08</v>
      </c>
      <c r="C13" s="48">
        <f>C12+'Página8'!C13</f>
        <v>325160.44</v>
      </c>
      <c r="D13" s="48">
        <f>D12+'Página8'!D13</f>
        <v>304059.07</v>
      </c>
      <c r="E13" s="48">
        <f>E12+'Página8'!E13</f>
        <v>314616.66</v>
      </c>
      <c r="F13" s="48">
        <f>F12+'Página8'!F13</f>
        <v>187603.12</v>
      </c>
      <c r="G13" s="48">
        <f>G12+'Página8'!G13</f>
        <v>292658.37</v>
      </c>
      <c r="H13" s="48">
        <f>H12+'Página8'!H13</f>
        <v>133815.84</v>
      </c>
      <c r="I13" s="48">
        <f>I12+'Página8'!I13</f>
        <v>302058.31</v>
      </c>
      <c r="J13" s="48">
        <f>J12+'Página8'!J13</f>
        <v>222764.63</v>
      </c>
      <c r="K13" s="48">
        <f>K12+'Página8'!K13</f>
        <v>207785.33</v>
      </c>
      <c r="L13" s="48">
        <f>L12+'Página8'!L13</f>
        <v>215745.83</v>
      </c>
      <c r="M13" s="48">
        <f>M12+'Página8'!M13</f>
        <v>133331.09</v>
      </c>
      <c r="N13" s="48">
        <f>N12+'Página8'!N13</f>
        <v>200429.01</v>
      </c>
      <c r="O13" s="48">
        <f>O12+'Página8'!O13</f>
        <v>97935.85</v>
      </c>
    </row>
    <row r="14">
      <c r="A14" s="34">
        <v>42736.0</v>
      </c>
      <c r="B14" s="48">
        <f>B13+'Página8'!B14</f>
        <v>483925.08</v>
      </c>
      <c r="C14" s="48">
        <f>C13+'Página8'!C14</f>
        <v>353399.83</v>
      </c>
      <c r="D14" s="48">
        <f>D13+'Página8'!D14</f>
        <v>332321.31</v>
      </c>
      <c r="E14" s="48">
        <f>E13+'Página8'!E14</f>
        <v>342259.73</v>
      </c>
      <c r="F14" s="48">
        <f>F13+'Página8'!F14</f>
        <v>204092.02</v>
      </c>
      <c r="G14" s="48">
        <f>G13+'Página8'!G14</f>
        <v>316801.03</v>
      </c>
      <c r="H14" s="48">
        <f>H13+'Página8'!H14</f>
        <v>144854.89</v>
      </c>
      <c r="I14" s="48">
        <f>I13+'Página8'!I14</f>
        <v>324713.25</v>
      </c>
      <c r="J14" s="48">
        <f>J13+'Página8'!J14</f>
        <v>242118.33</v>
      </c>
      <c r="K14" s="48">
        <f>K13+'Página8'!K14</f>
        <v>226890.9</v>
      </c>
      <c r="L14" s="48">
        <f>L13+'Página8'!L14</f>
        <v>234667.2</v>
      </c>
      <c r="M14" s="48">
        <f>M13+'Página8'!M14</f>
        <v>144969.11</v>
      </c>
      <c r="N14" s="48">
        <f>N13+'Página8'!N14</f>
        <v>216876.42</v>
      </c>
      <c r="O14" s="48">
        <f>O13+'Página8'!O14</f>
        <v>105928.15</v>
      </c>
    </row>
    <row r="15">
      <c r="A15" s="34">
        <v>42767.0</v>
      </c>
      <c r="B15" s="48">
        <f>B14+'Página8'!B15</f>
        <v>517688.08</v>
      </c>
      <c r="C15" s="48">
        <f>C14+'Página8'!C15</f>
        <v>381639.22</v>
      </c>
      <c r="D15" s="48">
        <f>D14+'Página8'!D15</f>
        <v>360583.55</v>
      </c>
      <c r="E15" s="48">
        <f>E14+'Página8'!E15</f>
        <v>369902.8</v>
      </c>
      <c r="F15" s="48">
        <f>F14+'Página8'!F15</f>
        <v>220580.92</v>
      </c>
      <c r="G15" s="48">
        <f>G14+'Página8'!G15</f>
        <v>340943.69</v>
      </c>
      <c r="H15" s="48">
        <f>H14+'Página8'!H15</f>
        <v>155893.94</v>
      </c>
      <c r="I15" s="48">
        <f>I14+'Página8'!I15</f>
        <v>347368.19</v>
      </c>
      <c r="J15" s="48">
        <f>J14+'Página8'!J15</f>
        <v>261472.03</v>
      </c>
      <c r="K15" s="48">
        <f>K14+'Página8'!K15</f>
        <v>245996.47</v>
      </c>
      <c r="L15" s="48">
        <f>L14+'Página8'!L15</f>
        <v>253588.57</v>
      </c>
      <c r="M15" s="48">
        <f>M14+'Página8'!M15</f>
        <v>156607.13</v>
      </c>
      <c r="N15" s="48">
        <f>N14+'Página8'!N15</f>
        <v>233323.83</v>
      </c>
      <c r="O15" s="48">
        <f>O14+'Página8'!O15</f>
        <v>113920.45</v>
      </c>
    </row>
    <row r="16">
      <c r="A16" s="34">
        <v>42795.0</v>
      </c>
      <c r="B16" s="48">
        <f>B15+'Página8'!B16</f>
        <v>551451.08</v>
      </c>
      <c r="C16" s="48">
        <f>C15+'Página8'!C16</f>
        <v>409878.61</v>
      </c>
      <c r="D16" s="48">
        <f>D15+'Página8'!D16</f>
        <v>388845.79</v>
      </c>
      <c r="E16" s="48">
        <f>E15+'Página8'!E16</f>
        <v>397545.87</v>
      </c>
      <c r="F16" s="48">
        <f>F15+'Página8'!F16</f>
        <v>237069.82</v>
      </c>
      <c r="G16" s="48">
        <f>G15+'Página8'!G16</f>
        <v>365086.35</v>
      </c>
      <c r="H16" s="48">
        <f>H15+'Página8'!H16</f>
        <v>166932.99</v>
      </c>
      <c r="I16" s="48">
        <f>I15+'Página8'!I16</f>
        <v>370023.13</v>
      </c>
      <c r="J16" s="48">
        <f>J15+'Página8'!J16</f>
        <v>280825.73</v>
      </c>
      <c r="K16" s="48">
        <f>K15+'Página8'!K16</f>
        <v>265102.04</v>
      </c>
      <c r="L16" s="48">
        <f>L15+'Página8'!L16</f>
        <v>272509.94</v>
      </c>
      <c r="M16" s="48">
        <f>M15+'Página8'!M16</f>
        <v>168245.15</v>
      </c>
      <c r="N16" s="48">
        <f>N15+'Página8'!N16</f>
        <v>249771.24</v>
      </c>
      <c r="O16" s="48">
        <f>O15+'Página8'!O16</f>
        <v>121912.75</v>
      </c>
    </row>
    <row r="17">
      <c r="A17" s="34">
        <v>42826.0</v>
      </c>
      <c r="B17" s="48">
        <f>B16+'Página8'!B17</f>
        <v>585214.08</v>
      </c>
      <c r="C17" s="48">
        <f>C16+'Página8'!C17</f>
        <v>438118</v>
      </c>
      <c r="D17" s="48">
        <f>D16+'Página8'!D17</f>
        <v>417108.03</v>
      </c>
      <c r="E17" s="48">
        <f>E16+'Página8'!E17</f>
        <v>425188.94</v>
      </c>
      <c r="F17" s="48">
        <f>F16+'Página8'!F17</f>
        <v>253558.72</v>
      </c>
      <c r="G17" s="48">
        <f>G16+'Página8'!G17</f>
        <v>389229.01</v>
      </c>
      <c r="H17" s="48">
        <f>H16+'Página8'!H17</f>
        <v>177972.04</v>
      </c>
      <c r="I17" s="48">
        <f>I16+'Página8'!I17</f>
        <v>392678.07</v>
      </c>
      <c r="J17" s="48">
        <f>J16+'Página8'!J17</f>
        <v>300179.43</v>
      </c>
      <c r="K17" s="48">
        <f>K16+'Página8'!K17</f>
        <v>284207.61</v>
      </c>
      <c r="L17" s="48">
        <f>L16+'Página8'!L17</f>
        <v>291431.31</v>
      </c>
      <c r="M17" s="48">
        <f>M16+'Página8'!M17</f>
        <v>179883.17</v>
      </c>
      <c r="N17" s="48">
        <f>N16+'Página8'!N17</f>
        <v>266218.65</v>
      </c>
      <c r="O17" s="48">
        <f>O16+'Página8'!O17</f>
        <v>129905.05</v>
      </c>
    </row>
    <row r="18">
      <c r="A18" s="34">
        <v>42856.0</v>
      </c>
      <c r="B18" s="48">
        <f>B17+'Página8'!B18</f>
        <v>618977.08</v>
      </c>
      <c r="C18" s="48">
        <f>C17+'Página8'!C18</f>
        <v>466357.39</v>
      </c>
      <c r="D18" s="48">
        <f>D17+'Página8'!D18</f>
        <v>445370.27</v>
      </c>
      <c r="E18" s="48">
        <f>E17+'Página8'!E18</f>
        <v>452832.01</v>
      </c>
      <c r="F18" s="48">
        <f>F17+'Página8'!F18</f>
        <v>270047.62</v>
      </c>
      <c r="G18" s="48">
        <f>G17+'Página8'!G18</f>
        <v>413371.67</v>
      </c>
      <c r="H18" s="48">
        <f>H17+'Página8'!H18</f>
        <v>189011.09</v>
      </c>
      <c r="I18" s="48">
        <f>I17+'Página8'!I18</f>
        <v>415333.01</v>
      </c>
      <c r="J18" s="48">
        <f>J17+'Página8'!J18</f>
        <v>319533.13</v>
      </c>
      <c r="K18" s="48">
        <f>K17+'Página8'!K18</f>
        <v>303313.18</v>
      </c>
      <c r="L18" s="48">
        <f>L17+'Página8'!L18</f>
        <v>310352.68</v>
      </c>
      <c r="M18" s="48">
        <f>M17+'Página8'!M18</f>
        <v>191521.19</v>
      </c>
      <c r="N18" s="48">
        <f>N17+'Página8'!N18</f>
        <v>282666.06</v>
      </c>
      <c r="O18" s="48">
        <f>O17+'Página8'!O18</f>
        <v>137897.35</v>
      </c>
    </row>
    <row r="19">
      <c r="A19" s="34">
        <v>42887.0</v>
      </c>
      <c r="B19" s="48">
        <f>B18+'Página8'!B19</f>
        <v>652740.08</v>
      </c>
      <c r="C19" s="48">
        <f>C18+'Página8'!C19</f>
        <v>494596.78</v>
      </c>
      <c r="D19" s="48">
        <f>D18+'Página8'!D19</f>
        <v>473632.51</v>
      </c>
      <c r="E19" s="48">
        <f>E18+'Página8'!E19</f>
        <v>480475.08</v>
      </c>
      <c r="F19" s="48">
        <f>F18+'Página8'!F19</f>
        <v>286536.52</v>
      </c>
      <c r="G19" s="48">
        <f>G18+'Página8'!G19</f>
        <v>437514.33</v>
      </c>
      <c r="H19" s="48">
        <f>H18+'Página8'!H19</f>
        <v>200050.14</v>
      </c>
      <c r="I19" s="48">
        <f>I18+'Página8'!I19</f>
        <v>437987.95</v>
      </c>
      <c r="J19" s="48">
        <f>J18+'Página8'!J19</f>
        <v>338886.83</v>
      </c>
      <c r="K19" s="48">
        <f>K18+'Página8'!K19</f>
        <v>322418.75</v>
      </c>
      <c r="L19" s="48">
        <f>L18+'Página8'!L19</f>
        <v>329274.05</v>
      </c>
      <c r="M19" s="48">
        <f>M18+'Página8'!M19</f>
        <v>203159.21</v>
      </c>
      <c r="N19" s="48">
        <f>N18+'Página8'!N19</f>
        <v>299113.47</v>
      </c>
      <c r="O19" s="48">
        <f>O18+'Página8'!O19</f>
        <v>145889.65</v>
      </c>
    </row>
    <row r="20">
      <c r="A20" s="34">
        <v>42917.0</v>
      </c>
      <c r="B20" s="48">
        <f>B19+'Página8'!B20</f>
        <v>686503.08</v>
      </c>
      <c r="C20" s="48">
        <f>C19+'Página8'!C20</f>
        <v>522836.17</v>
      </c>
      <c r="D20" s="48">
        <f>D19+'Página8'!D20</f>
        <v>501894.75</v>
      </c>
      <c r="E20" s="48">
        <f>E19+'Página8'!E20</f>
        <v>508118.15</v>
      </c>
      <c r="F20" s="48">
        <f>F19+'Página8'!F20</f>
        <v>303025.42</v>
      </c>
      <c r="G20" s="48">
        <f>G19+'Página8'!G20</f>
        <v>461656.99</v>
      </c>
      <c r="H20" s="48">
        <f>H19+'Página8'!H20</f>
        <v>211089.19</v>
      </c>
      <c r="I20" s="48">
        <f>I19+'Página8'!I20</f>
        <v>460642.89</v>
      </c>
      <c r="J20" s="48">
        <f>J19+'Página8'!J20</f>
        <v>358240.53</v>
      </c>
      <c r="K20" s="48">
        <f>K19+'Página8'!K20</f>
        <v>341524.32</v>
      </c>
      <c r="L20" s="48">
        <f>L19+'Página8'!L20</f>
        <v>348195.42</v>
      </c>
      <c r="M20" s="48">
        <f>M19+'Página8'!M20</f>
        <v>214797.23</v>
      </c>
      <c r="N20" s="48">
        <f>N19+'Página8'!N20</f>
        <v>315560.88</v>
      </c>
      <c r="O20" s="48">
        <f>O19+'Página8'!O20</f>
        <v>153881.95</v>
      </c>
    </row>
    <row r="21">
      <c r="A21" s="34">
        <v>42948.0</v>
      </c>
      <c r="B21" s="48">
        <f>B20+'Página8'!B21</f>
        <v>720266.08</v>
      </c>
      <c r="C21" s="48">
        <f>C20+'Página8'!C21</f>
        <v>551075.56</v>
      </c>
      <c r="D21" s="48">
        <f>D20+'Página8'!D21</f>
        <v>530156.99</v>
      </c>
      <c r="E21" s="48">
        <f>E20+'Página8'!E21</f>
        <v>535761.22</v>
      </c>
      <c r="F21" s="48">
        <f>F20+'Página8'!F21</f>
        <v>319514.32</v>
      </c>
      <c r="G21" s="48">
        <f>G20+'Página8'!G21</f>
        <v>485799.65</v>
      </c>
      <c r="H21" s="48">
        <f>H20+'Página8'!H21</f>
        <v>222128.24</v>
      </c>
      <c r="I21" s="48">
        <f>I20+'Página8'!I21</f>
        <v>483297.83</v>
      </c>
      <c r="J21" s="48">
        <f>J20+'Página8'!J21</f>
        <v>377594.23</v>
      </c>
      <c r="K21" s="48">
        <f>K20+'Página8'!K21</f>
        <v>360629.89</v>
      </c>
      <c r="L21" s="48">
        <f>L20+'Página8'!L21</f>
        <v>367116.79</v>
      </c>
      <c r="M21" s="48">
        <f>M20+'Página8'!M21</f>
        <v>226435.25</v>
      </c>
      <c r="N21" s="48">
        <f>N20+'Página8'!N21</f>
        <v>332008.29</v>
      </c>
      <c r="O21" s="48">
        <f>O20+'Página8'!O21</f>
        <v>161874.25</v>
      </c>
    </row>
    <row r="22">
      <c r="A22" s="34">
        <v>42979.0</v>
      </c>
      <c r="B22" s="48">
        <f>B21+'Página8'!B22</f>
        <v>754029.08</v>
      </c>
      <c r="C22" s="48">
        <f>C21+'Página8'!C22</f>
        <v>579314.95</v>
      </c>
      <c r="D22" s="48">
        <f>D21+'Página8'!D22</f>
        <v>558419.23</v>
      </c>
      <c r="E22" s="48">
        <f>E21+'Página8'!E22</f>
        <v>563404.29</v>
      </c>
      <c r="F22" s="48">
        <f>F21+'Página8'!F22</f>
        <v>336003.22</v>
      </c>
      <c r="G22" s="48">
        <f>G21+'Página8'!G22</f>
        <v>509942.31</v>
      </c>
      <c r="H22" s="48">
        <f>H21+'Página8'!H22</f>
        <v>233167.29</v>
      </c>
      <c r="I22" s="48">
        <f>I21+'Página8'!I22</f>
        <v>505952.77</v>
      </c>
      <c r="J22" s="48">
        <f>J21+'Página8'!J22</f>
        <v>396947.93</v>
      </c>
      <c r="K22" s="48">
        <f>K21+'Página8'!K22</f>
        <v>379735.46</v>
      </c>
      <c r="L22" s="48">
        <f>L21+'Página8'!L22</f>
        <v>386038.16</v>
      </c>
      <c r="M22" s="48">
        <f>M21+'Página8'!M22</f>
        <v>238073.27</v>
      </c>
      <c r="N22" s="48">
        <f>N21+'Página8'!N22</f>
        <v>348455.7</v>
      </c>
      <c r="O22" s="48">
        <f>O21+'Página8'!O22</f>
        <v>169866.55</v>
      </c>
    </row>
    <row r="23">
      <c r="A23" s="34">
        <v>43009.0</v>
      </c>
      <c r="B23" s="48">
        <f>B22+'Página8'!B23</f>
        <v>787792.08</v>
      </c>
      <c r="C23" s="48">
        <f>C22+'Página8'!C23</f>
        <v>607554.34</v>
      </c>
      <c r="D23" s="48">
        <f>D22+'Página8'!D23</f>
        <v>586681.47</v>
      </c>
      <c r="E23" s="48">
        <f>E22+'Página8'!E23</f>
        <v>591047.36</v>
      </c>
      <c r="F23" s="48">
        <f>F22+'Página8'!F23</f>
        <v>352492.12</v>
      </c>
      <c r="G23" s="48">
        <f>G22+'Página8'!G23</f>
        <v>534084.97</v>
      </c>
      <c r="H23" s="48">
        <f>H22+'Página8'!H23</f>
        <v>244206.34</v>
      </c>
      <c r="I23" s="48">
        <f>I22+'Página8'!I23</f>
        <v>528607.71</v>
      </c>
      <c r="J23" s="48">
        <f>J22+'Página8'!J23</f>
        <v>416301.63</v>
      </c>
      <c r="K23" s="48">
        <f>K22+'Página8'!K23</f>
        <v>398841.03</v>
      </c>
      <c r="L23" s="48">
        <f>L22+'Página8'!L23</f>
        <v>404959.53</v>
      </c>
      <c r="M23" s="48">
        <f>M22+'Página8'!M23</f>
        <v>249711.29</v>
      </c>
      <c r="N23" s="48">
        <f>N22+'Página8'!N23</f>
        <v>364903.11</v>
      </c>
      <c r="O23" s="48">
        <f>O22+'Página8'!O23</f>
        <v>177858.85</v>
      </c>
    </row>
    <row r="24">
      <c r="A24" s="34">
        <v>43040.0</v>
      </c>
      <c r="B24" s="48">
        <f>B23+'Página8'!B24</f>
        <v>821555.08</v>
      </c>
      <c r="C24" s="48">
        <f>C23+'Página8'!C24</f>
        <v>635793.73</v>
      </c>
      <c r="D24" s="48">
        <f>D23+'Página8'!D24</f>
        <v>614943.71</v>
      </c>
      <c r="E24" s="48">
        <f>E23+'Página8'!E24</f>
        <v>618690.43</v>
      </c>
      <c r="F24" s="48">
        <f>F23+'Página8'!F24</f>
        <v>368981.02</v>
      </c>
      <c r="G24" s="48">
        <f>G23+'Página8'!G24</f>
        <v>558227.63</v>
      </c>
      <c r="H24" s="48">
        <f>H23+'Página8'!H24</f>
        <v>255245.39</v>
      </c>
      <c r="I24" s="48">
        <f>I23+'Página8'!I24</f>
        <v>551262.65</v>
      </c>
      <c r="J24" s="48">
        <f>J23+'Página8'!J24</f>
        <v>435655.33</v>
      </c>
      <c r="K24" s="48">
        <f>K23+'Página8'!K24</f>
        <v>417946.6</v>
      </c>
      <c r="L24" s="48">
        <f>L23+'Página8'!L24</f>
        <v>423880.9</v>
      </c>
      <c r="M24" s="48">
        <f>M23+'Página8'!M24</f>
        <v>261349.31</v>
      </c>
      <c r="N24" s="48">
        <f>N23+'Página8'!N24</f>
        <v>381350.52</v>
      </c>
      <c r="O24" s="48">
        <f>O23+'Página8'!O24</f>
        <v>185851.15</v>
      </c>
    </row>
    <row r="25">
      <c r="A25" s="34">
        <v>43070.0</v>
      </c>
      <c r="B25" s="48">
        <f>B24+'Página8'!B25</f>
        <v>900324.16</v>
      </c>
      <c r="C25" s="48">
        <f>C24+'Página8'!C25</f>
        <v>701676.23</v>
      </c>
      <c r="D25" s="48">
        <f>D24+'Página8'!D25</f>
        <v>680879.52</v>
      </c>
      <c r="E25" s="48">
        <f>E24+'Página8'!E25</f>
        <v>683181.71</v>
      </c>
      <c r="F25" s="48">
        <f>F24+'Página8'!F25</f>
        <v>407449.62</v>
      </c>
      <c r="G25" s="48">
        <f>G24+'Página8'!G25</f>
        <v>614552.46</v>
      </c>
      <c r="H25" s="48">
        <f>H24+'Página8'!H25</f>
        <v>280999.49</v>
      </c>
      <c r="I25" s="48">
        <f>I24+'Página8'!I25</f>
        <v>604116.62</v>
      </c>
      <c r="J25" s="48">
        <f>J24+'Página8'!J25</f>
        <v>480807.51</v>
      </c>
      <c r="K25" s="48">
        <f>K24+'Página8'!K25</f>
        <v>462519.89</v>
      </c>
      <c r="L25" s="48">
        <f>L24+'Página8'!L25</f>
        <v>468024.47</v>
      </c>
      <c r="M25" s="48">
        <f>M24+'Página8'!M25</f>
        <v>288500.8</v>
      </c>
      <c r="N25" s="48">
        <f>N24+'Página8'!N25</f>
        <v>419722.34</v>
      </c>
      <c r="O25" s="48">
        <f>O24+'Página8'!O25</f>
        <v>204497.19</v>
      </c>
    </row>
    <row r="26">
      <c r="A26" s="34">
        <v>43101.0</v>
      </c>
      <c r="B26" s="48">
        <f>B25+'Página8'!B26</f>
        <v>934087.16</v>
      </c>
      <c r="C26" s="48">
        <f>C25+'Página8'!C26</f>
        <v>733610.96</v>
      </c>
      <c r="D26" s="48">
        <f>D25+'Página8'!D26</f>
        <v>710484.22</v>
      </c>
      <c r="E26" s="48">
        <f>E25+'Página8'!E26</f>
        <v>712009.58</v>
      </c>
      <c r="F26" s="48">
        <f>F25+'Página8'!F26</f>
        <v>424644.79</v>
      </c>
      <c r="G26" s="48">
        <f>G25+'Página8'!G26</f>
        <v>640298.07</v>
      </c>
      <c r="H26" s="48">
        <f>H25+'Página8'!H26</f>
        <v>292771.48</v>
      </c>
      <c r="I26" s="48">
        <f>I25+'Página8'!I26</f>
        <v>626771.56</v>
      </c>
      <c r="J26" s="48">
        <f>J25+'Página8'!J26</f>
        <v>502745.85</v>
      </c>
      <c r="K26" s="48">
        <f>K25+'Página8'!K26</f>
        <v>482491.68</v>
      </c>
      <c r="L26" s="48">
        <f>L25+'Página8'!L26</f>
        <v>487710.34</v>
      </c>
      <c r="M26" s="48">
        <f>M25+'Página8'!M26</f>
        <v>300594.54</v>
      </c>
      <c r="N26" s="48">
        <f>N25+'Página8'!N26</f>
        <v>437204.05</v>
      </c>
      <c r="O26" s="48">
        <f>O25+'Página8'!O26</f>
        <v>212962.43</v>
      </c>
    </row>
    <row r="27">
      <c r="A27" s="34">
        <v>43132.0</v>
      </c>
      <c r="B27" s="48">
        <f>B26+'Página8'!B27</f>
        <v>967850.16</v>
      </c>
      <c r="C27" s="48">
        <f>C26+'Página8'!C27</f>
        <v>765545.69</v>
      </c>
      <c r="D27" s="48">
        <f>D26+'Página8'!D27</f>
        <v>740088.92</v>
      </c>
      <c r="E27" s="48">
        <f>E26+'Página8'!E27</f>
        <v>740837.45</v>
      </c>
      <c r="F27" s="48">
        <f>F26+'Página8'!F27</f>
        <v>441839.96</v>
      </c>
      <c r="G27" s="48">
        <f>G26+'Página8'!G27</f>
        <v>666043.68</v>
      </c>
      <c r="H27" s="48">
        <f>H26+'Página8'!H27</f>
        <v>304543.47</v>
      </c>
      <c r="I27" s="48">
        <f>I26+'Página8'!I27</f>
        <v>649426.5</v>
      </c>
      <c r="J27" s="48">
        <f>J26+'Página8'!J27</f>
        <v>524684.19</v>
      </c>
      <c r="K27" s="48">
        <f>K26+'Página8'!K27</f>
        <v>502463.47</v>
      </c>
      <c r="L27" s="48">
        <f>L26+'Página8'!L27</f>
        <v>507396.21</v>
      </c>
      <c r="M27" s="48">
        <f>M26+'Página8'!M27</f>
        <v>312688.28</v>
      </c>
      <c r="N27" s="48">
        <f>N26+'Página8'!N27</f>
        <v>454685.76</v>
      </c>
      <c r="O27" s="48">
        <f>O26+'Página8'!O27</f>
        <v>221427.67</v>
      </c>
    </row>
    <row r="28">
      <c r="A28" s="34">
        <v>43160.0</v>
      </c>
      <c r="B28" s="48">
        <f>B27+'Página8'!B28</f>
        <v>1001613.16</v>
      </c>
      <c r="C28" s="48">
        <f>C27+'Página8'!C28</f>
        <v>797480.42</v>
      </c>
      <c r="D28" s="48">
        <f>D27+'Página8'!D28</f>
        <v>769693.62</v>
      </c>
      <c r="E28" s="48">
        <f>E27+'Página8'!E28</f>
        <v>769665.32</v>
      </c>
      <c r="F28" s="48">
        <f>F27+'Página8'!F28</f>
        <v>459035.13</v>
      </c>
      <c r="G28" s="48">
        <f>G27+'Página8'!G28</f>
        <v>691789.29</v>
      </c>
      <c r="H28" s="48">
        <f>H27+'Página8'!H28</f>
        <v>316315.46</v>
      </c>
      <c r="I28" s="48">
        <f>I27+'Página8'!I28</f>
        <v>672081.44</v>
      </c>
      <c r="J28" s="48">
        <f>J27+'Página8'!J28</f>
        <v>546622.53</v>
      </c>
      <c r="K28" s="48">
        <f>K27+'Página8'!K28</f>
        <v>522435.26</v>
      </c>
      <c r="L28" s="48">
        <f>L27+'Página8'!L28</f>
        <v>527082.08</v>
      </c>
      <c r="M28" s="48">
        <f>M27+'Página8'!M28</f>
        <v>324782.02</v>
      </c>
      <c r="N28" s="48">
        <f>N27+'Página8'!N28</f>
        <v>472167.47</v>
      </c>
      <c r="O28" s="48">
        <f>O27+'Página8'!O28</f>
        <v>229892.91</v>
      </c>
    </row>
    <row r="29">
      <c r="A29" s="34">
        <v>43191.0</v>
      </c>
      <c r="B29" s="48">
        <f>B28+'Página8'!B29</f>
        <v>1035376.16</v>
      </c>
      <c r="C29" s="48">
        <f>C28+'Página8'!C29</f>
        <v>829415.15</v>
      </c>
      <c r="D29" s="48">
        <f>D28+'Página8'!D29</f>
        <v>799298.32</v>
      </c>
      <c r="E29" s="48">
        <f>E28+'Página8'!E29</f>
        <v>798493.19</v>
      </c>
      <c r="F29" s="48">
        <f>F28+'Página8'!F29</f>
        <v>476230.3</v>
      </c>
      <c r="G29" s="48">
        <f>G28+'Página8'!G29</f>
        <v>717534.9</v>
      </c>
      <c r="H29" s="48">
        <f>H28+'Página8'!H29</f>
        <v>328087.45</v>
      </c>
      <c r="I29" s="48">
        <f>I28+'Página8'!I29</f>
        <v>694736.38</v>
      </c>
      <c r="J29" s="48">
        <f>J28+'Página8'!J29</f>
        <v>568560.87</v>
      </c>
      <c r="K29" s="48">
        <f>K28+'Página8'!K29</f>
        <v>542407.05</v>
      </c>
      <c r="L29" s="48">
        <f>L28+'Página8'!L29</f>
        <v>546767.95</v>
      </c>
      <c r="M29" s="48">
        <f>M28+'Página8'!M29</f>
        <v>336875.76</v>
      </c>
      <c r="N29" s="48">
        <f>N28+'Página8'!N29</f>
        <v>489649.18</v>
      </c>
      <c r="O29" s="48">
        <f>O28+'Página8'!O29</f>
        <v>238358.15</v>
      </c>
    </row>
    <row r="30">
      <c r="A30" s="34">
        <v>43221.0</v>
      </c>
      <c r="B30" s="48">
        <f>B29+'Página8'!B30</f>
        <v>1069139.16</v>
      </c>
      <c r="C30" s="48">
        <f>C29+'Página8'!C30</f>
        <v>861349.88</v>
      </c>
      <c r="D30" s="48">
        <f>D29+'Página8'!D30</f>
        <v>828903.02</v>
      </c>
      <c r="E30" s="48">
        <f>E29+'Página8'!E30</f>
        <v>827321.06</v>
      </c>
      <c r="F30" s="48">
        <f>F29+'Página8'!F30</f>
        <v>493425.47</v>
      </c>
      <c r="G30" s="48">
        <f>G29+'Página8'!G30</f>
        <v>743280.51</v>
      </c>
      <c r="H30" s="48">
        <f>H29+'Página8'!H30</f>
        <v>339859.44</v>
      </c>
      <c r="I30" s="48">
        <f>I29+'Página8'!I30</f>
        <v>717391.32</v>
      </c>
      <c r="J30" s="48">
        <f>J29+'Página8'!J30</f>
        <v>590499.21</v>
      </c>
      <c r="K30" s="48">
        <f>K29+'Página8'!K30</f>
        <v>562378.84</v>
      </c>
      <c r="L30" s="48">
        <f>L29+'Página8'!L30</f>
        <v>566453.82</v>
      </c>
      <c r="M30" s="48">
        <f>M29+'Página8'!M30</f>
        <v>348969.5</v>
      </c>
      <c r="N30" s="48">
        <f>N29+'Página8'!N30</f>
        <v>507130.89</v>
      </c>
      <c r="O30" s="48">
        <f>O29+'Página8'!O30</f>
        <v>246823.39</v>
      </c>
    </row>
    <row r="31">
      <c r="A31" s="34">
        <v>43252.0</v>
      </c>
      <c r="B31" s="48">
        <f>B30+'Página8'!B31</f>
        <v>1102902.16</v>
      </c>
      <c r="C31" s="48">
        <f>C30+'Página8'!C31</f>
        <v>893284.61</v>
      </c>
      <c r="D31" s="48">
        <f>D30+'Página8'!D31</f>
        <v>858507.72</v>
      </c>
      <c r="E31" s="48">
        <f>E30+'Página8'!E31</f>
        <v>856148.93</v>
      </c>
      <c r="F31" s="48">
        <f>F30+'Página8'!F31</f>
        <v>510620.64</v>
      </c>
      <c r="G31" s="48">
        <f>G30+'Página8'!G31</f>
        <v>769026.12</v>
      </c>
      <c r="H31" s="48">
        <f>H30+'Página8'!H31</f>
        <v>351631.43</v>
      </c>
      <c r="I31" s="48">
        <f>I30+'Página8'!I31</f>
        <v>740046.26</v>
      </c>
      <c r="J31" s="48">
        <f>J30+'Página8'!J31</f>
        <v>612437.55</v>
      </c>
      <c r="K31" s="48">
        <f>K30+'Página8'!K31</f>
        <v>582350.63</v>
      </c>
      <c r="L31" s="48">
        <f>L30+'Página8'!L31</f>
        <v>586139.69</v>
      </c>
      <c r="M31" s="48">
        <f>M30+'Página8'!M31</f>
        <v>361063.24</v>
      </c>
      <c r="N31" s="48">
        <f>N30+'Página8'!N31</f>
        <v>524612.6</v>
      </c>
      <c r="O31" s="48">
        <f>O30+'Página8'!O31</f>
        <v>255288.63</v>
      </c>
    </row>
    <row r="32">
      <c r="A32" s="34">
        <v>43282.0</v>
      </c>
      <c r="B32" s="48">
        <f>B31+'Página8'!B32</f>
        <v>1136665.16</v>
      </c>
      <c r="C32" s="48">
        <f>C31+'Página8'!C32</f>
        <v>925219.34</v>
      </c>
      <c r="D32" s="48">
        <f>D31+'Página8'!D32</f>
        <v>888112.42</v>
      </c>
      <c r="E32" s="48">
        <f>E31+'Página8'!E32</f>
        <v>884976.8</v>
      </c>
      <c r="F32" s="48">
        <f>F31+'Página8'!F32</f>
        <v>527815.81</v>
      </c>
      <c r="G32" s="48">
        <f>G31+'Página8'!G32</f>
        <v>794771.73</v>
      </c>
      <c r="H32" s="48">
        <f>H31+'Página8'!H32</f>
        <v>363403.42</v>
      </c>
      <c r="I32" s="48">
        <f>I31+'Página8'!I32</f>
        <v>762701.2</v>
      </c>
      <c r="J32" s="48">
        <f>J31+'Página8'!J32</f>
        <v>634375.89</v>
      </c>
      <c r="K32" s="48">
        <f>K31+'Página8'!K32</f>
        <v>602322.42</v>
      </c>
      <c r="L32" s="48">
        <f>L31+'Página8'!L32</f>
        <v>605825.56</v>
      </c>
      <c r="M32" s="48">
        <f>M31+'Página8'!M32</f>
        <v>373156.98</v>
      </c>
      <c r="N32" s="48">
        <f>N31+'Página8'!N32</f>
        <v>542094.31</v>
      </c>
      <c r="O32" s="48">
        <f>O31+'Página8'!O32</f>
        <v>263753.87</v>
      </c>
    </row>
    <row r="33">
      <c r="A33" s="34">
        <v>43313.0</v>
      </c>
      <c r="B33" s="48">
        <f>B32+'Página8'!B33</f>
        <v>1170428.16</v>
      </c>
      <c r="C33" s="48">
        <f>C32+'Página8'!C33</f>
        <v>957154.07</v>
      </c>
      <c r="D33" s="48">
        <f>D32+'Página8'!D33</f>
        <v>917717.12</v>
      </c>
      <c r="E33" s="48">
        <f>E32+'Página8'!E33</f>
        <v>913804.67</v>
      </c>
      <c r="F33" s="48">
        <f>F32+'Página8'!F33</f>
        <v>545010.98</v>
      </c>
      <c r="G33" s="48">
        <f>G32+'Página8'!G33</f>
        <v>820517.34</v>
      </c>
      <c r="H33" s="48">
        <f>H32+'Página8'!H33</f>
        <v>375175.41</v>
      </c>
      <c r="I33" s="48">
        <f>I32+'Página8'!I33</f>
        <v>785356.14</v>
      </c>
      <c r="J33" s="48">
        <f>J32+'Página8'!J33</f>
        <v>656314.23</v>
      </c>
      <c r="K33" s="48">
        <f>K32+'Página8'!K33</f>
        <v>622294.21</v>
      </c>
      <c r="L33" s="48">
        <f>L32+'Página8'!L33</f>
        <v>625511.43</v>
      </c>
      <c r="M33" s="48">
        <f>M32+'Página8'!M33</f>
        <v>385250.72</v>
      </c>
      <c r="N33" s="48">
        <f>N32+'Página8'!N33</f>
        <v>559576.02</v>
      </c>
      <c r="O33" s="48">
        <f>O32+'Página8'!O33</f>
        <v>272219.11</v>
      </c>
    </row>
    <row r="34">
      <c r="A34" s="34">
        <v>43344.0</v>
      </c>
      <c r="B34" s="48">
        <f>B33+'Página8'!B34</f>
        <v>1204191.16</v>
      </c>
      <c r="C34" s="48">
        <f>C33+'Página8'!C34</f>
        <v>989088.8</v>
      </c>
      <c r="D34" s="48">
        <f>D33+'Página8'!D34</f>
        <v>947321.82</v>
      </c>
      <c r="E34" s="48">
        <f>E33+'Página8'!E34</f>
        <v>942632.54</v>
      </c>
      <c r="F34" s="48">
        <f>F33+'Página8'!F34</f>
        <v>562206.15</v>
      </c>
      <c r="G34" s="48">
        <f>G33+'Página8'!G34</f>
        <v>846262.95</v>
      </c>
      <c r="H34" s="48">
        <f>H33+'Página8'!H34</f>
        <v>386947.4</v>
      </c>
      <c r="I34" s="48">
        <f>I33+'Página8'!I34</f>
        <v>808011.08</v>
      </c>
      <c r="J34" s="48">
        <f>J33+'Página8'!J34</f>
        <v>678252.57</v>
      </c>
      <c r="K34" s="48">
        <f>K33+'Página8'!K34</f>
        <v>642266</v>
      </c>
      <c r="L34" s="48">
        <f>L33+'Página8'!L34</f>
        <v>645197.3</v>
      </c>
      <c r="M34" s="48">
        <f>M33+'Página8'!M34</f>
        <v>397344.46</v>
      </c>
      <c r="N34" s="48">
        <f>N33+'Página8'!N34</f>
        <v>577057.73</v>
      </c>
      <c r="O34" s="48">
        <f>O33+'Página8'!O34</f>
        <v>280684.35</v>
      </c>
    </row>
    <row r="35">
      <c r="A35" s="34">
        <v>43374.0</v>
      </c>
      <c r="B35" s="48">
        <f>B34+'Página8'!B35</f>
        <v>1237954.16</v>
      </c>
      <c r="C35" s="48">
        <f>C34+'Página8'!C35</f>
        <v>1021023.53</v>
      </c>
      <c r="D35" s="48">
        <f>D34+'Página8'!D35</f>
        <v>976926.52</v>
      </c>
      <c r="E35" s="48">
        <f>E34+'Página8'!E35</f>
        <v>971460.41</v>
      </c>
      <c r="F35" s="48">
        <f>F34+'Página8'!F35</f>
        <v>579401.32</v>
      </c>
      <c r="G35" s="48">
        <f>G34+'Página8'!G35</f>
        <v>872008.56</v>
      </c>
      <c r="H35" s="48">
        <f>H34+'Página8'!H35</f>
        <v>398719.39</v>
      </c>
      <c r="I35" s="48">
        <f>I34+'Página8'!I35</f>
        <v>830666.02</v>
      </c>
      <c r="J35" s="48">
        <f>J34+'Página8'!J35</f>
        <v>700190.91</v>
      </c>
      <c r="K35" s="48">
        <f>K34+'Página8'!K35</f>
        <v>662237.79</v>
      </c>
      <c r="L35" s="48">
        <f>L34+'Página8'!L35</f>
        <v>664883.17</v>
      </c>
      <c r="M35" s="48">
        <f>M34+'Página8'!M35</f>
        <v>409438.2</v>
      </c>
      <c r="N35" s="48">
        <f>N34+'Página8'!N35</f>
        <v>594539.44</v>
      </c>
      <c r="O35" s="48">
        <f>O34+'Página8'!O35</f>
        <v>289149.59</v>
      </c>
    </row>
    <row r="36">
      <c r="A36" s="34">
        <v>43405.0</v>
      </c>
      <c r="B36" s="48">
        <f>B35+'Página8'!B36</f>
        <v>1271717.16</v>
      </c>
      <c r="C36" s="48">
        <f>C35+'Página8'!C36</f>
        <v>1052958.26</v>
      </c>
      <c r="D36" s="48">
        <f>D35+'Página8'!D36</f>
        <v>1006531.22</v>
      </c>
      <c r="E36" s="48">
        <f>E35+'Página8'!E36</f>
        <v>1000288.28</v>
      </c>
      <c r="F36" s="48">
        <f>F35+'Página8'!F36</f>
        <v>596596.49</v>
      </c>
      <c r="G36" s="48">
        <f>G35+'Página8'!G36</f>
        <v>897754.17</v>
      </c>
      <c r="H36" s="48">
        <f>H35+'Página8'!H36</f>
        <v>410491.38</v>
      </c>
      <c r="I36" s="48">
        <f>I35+'Página8'!I36</f>
        <v>853320.96</v>
      </c>
      <c r="J36" s="48">
        <f>J35+'Página8'!J36</f>
        <v>722129.25</v>
      </c>
      <c r="K36" s="48">
        <f>K35+'Página8'!K36</f>
        <v>682209.58</v>
      </c>
      <c r="L36" s="48">
        <f>L35+'Página8'!L36</f>
        <v>684569.04</v>
      </c>
      <c r="M36" s="48">
        <f>M35+'Página8'!M36</f>
        <v>421531.94</v>
      </c>
      <c r="N36" s="48">
        <f>N35+'Página8'!N36</f>
        <v>612021.15</v>
      </c>
      <c r="O36" s="48">
        <f>O35+'Página8'!O36</f>
        <v>297614.83</v>
      </c>
    </row>
    <row r="37">
      <c r="A37" s="34">
        <v>43435.0</v>
      </c>
      <c r="B37" s="48">
        <f>B36+'Página8'!B37</f>
        <v>1363388.48</v>
      </c>
      <c r="C37" s="48">
        <f>C36+'Página8'!C37</f>
        <v>1128682.54</v>
      </c>
      <c r="D37" s="48">
        <f>D36+'Página8'!D37</f>
        <v>1075598.99</v>
      </c>
      <c r="E37" s="48">
        <f>E36+'Página8'!E37</f>
        <v>1067543.7</v>
      </c>
      <c r="F37" s="48">
        <f>F36+'Página8'!F37</f>
        <v>636712.82</v>
      </c>
      <c r="G37" s="48">
        <f>G36+'Página8'!G37</f>
        <v>957818.68</v>
      </c>
      <c r="H37" s="48">
        <f>H36+'Página8'!H37</f>
        <v>437955.43</v>
      </c>
      <c r="I37" s="48">
        <f>I36+'Página8'!I37</f>
        <v>914500.09</v>
      </c>
      <c r="J37" s="48">
        <f>J36+'Página8'!J37</f>
        <v>774196.29</v>
      </c>
      <c r="K37" s="48">
        <f>K36+'Página8'!K37</f>
        <v>728803.77</v>
      </c>
      <c r="L37" s="48">
        <f>L36+'Página8'!L37</f>
        <v>730496.16</v>
      </c>
      <c r="M37" s="48">
        <f>M36+'Página8'!M37</f>
        <v>449746.63</v>
      </c>
      <c r="N37" s="48">
        <f>N36+'Página8'!N37</f>
        <v>652805.99</v>
      </c>
      <c r="O37" s="48">
        <f>O36+'Página8'!O37</f>
        <v>317364.23</v>
      </c>
    </row>
    <row r="38">
      <c r="A38" s="34">
        <v>43466.0</v>
      </c>
      <c r="B38" s="48">
        <f>B37+'Página8'!B38</f>
        <v>1402681.8</v>
      </c>
      <c r="C38" s="48">
        <f>C37+'Página8'!C38</f>
        <v>1162480.96</v>
      </c>
      <c r="D38" s="48">
        <f>D37+'Página8'!D38</f>
        <v>1106535.9</v>
      </c>
      <c r="E38" s="48">
        <f>E37+'Página8'!E38</f>
        <v>1097547.32</v>
      </c>
      <c r="F38" s="48">
        <f>F37+'Página8'!F38</f>
        <v>654608.87</v>
      </c>
      <c r="G38" s="48">
        <f>G37+'Página8'!G38</f>
        <v>985188.35</v>
      </c>
      <c r="H38" s="48">
        <f>H37+'Página8'!H38</f>
        <v>450470.01</v>
      </c>
      <c r="I38" s="48">
        <f>I37+'Página8'!I38</f>
        <v>940723.46</v>
      </c>
      <c r="J38" s="48">
        <f>J37+'Página8'!J38</f>
        <v>797392.03</v>
      </c>
      <c r="K38" s="48">
        <f>K37+'Página8'!K38</f>
        <v>749635.17</v>
      </c>
      <c r="L38" s="48">
        <f>L37+'Página8'!L38</f>
        <v>750940.68</v>
      </c>
      <c r="M38" s="48">
        <f>M37+'Página8'!M38</f>
        <v>462292.61</v>
      </c>
      <c r="N38" s="48">
        <f>N37+'Página8'!N38</f>
        <v>671335.63</v>
      </c>
      <c r="O38" s="48">
        <f>O37+'Página8'!O38</f>
        <v>326308.63</v>
      </c>
    </row>
    <row r="39">
      <c r="A39" s="34">
        <v>43497.0</v>
      </c>
      <c r="B39" s="48">
        <f>B38+'Página8'!B39</f>
        <v>1441975.12</v>
      </c>
      <c r="C39" s="48">
        <f>C38+'Página8'!C39</f>
        <v>1196279.38</v>
      </c>
      <c r="D39" s="48">
        <f>D38+'Página8'!D39</f>
        <v>1137472.81</v>
      </c>
      <c r="E39" s="48">
        <f>E38+'Página8'!E39</f>
        <v>1127550.94</v>
      </c>
      <c r="F39" s="48">
        <f>F38+'Página8'!F39</f>
        <v>672504.92</v>
      </c>
      <c r="G39" s="48">
        <f>G38+'Página8'!G39</f>
        <v>1012558.02</v>
      </c>
      <c r="H39" s="48">
        <f>H38+'Página8'!H39</f>
        <v>462984.59</v>
      </c>
      <c r="I39" s="48">
        <f>I38+'Página8'!I39</f>
        <v>966946.83</v>
      </c>
      <c r="J39" s="48">
        <f>J38+'Página8'!J39</f>
        <v>820587.77</v>
      </c>
      <c r="K39" s="48">
        <f>K38+'Página8'!K39</f>
        <v>770466.57</v>
      </c>
      <c r="L39" s="48">
        <f>L38+'Página8'!L39</f>
        <v>771385.2</v>
      </c>
      <c r="M39" s="48">
        <f>M38+'Página8'!M39</f>
        <v>474838.59</v>
      </c>
      <c r="N39" s="48">
        <f>N38+'Página8'!N39</f>
        <v>689865.27</v>
      </c>
      <c r="O39" s="48">
        <f>O38+'Página8'!O39</f>
        <v>335253.03</v>
      </c>
    </row>
    <row r="40">
      <c r="A40" s="34">
        <v>43525.0</v>
      </c>
      <c r="B40" s="48">
        <f>B39+'Página8'!B40</f>
        <v>1481268.44</v>
      </c>
      <c r="C40" s="48">
        <f>C39+'Página8'!C40</f>
        <v>1230077.8</v>
      </c>
      <c r="D40" s="48">
        <f>D39+'Página8'!D40</f>
        <v>1168409.72</v>
      </c>
      <c r="E40" s="48">
        <f>E39+'Página8'!E40</f>
        <v>1157554.56</v>
      </c>
      <c r="F40" s="48">
        <f>F39+'Página8'!F40</f>
        <v>690400.97</v>
      </c>
      <c r="G40" s="48">
        <f>G39+'Página8'!G40</f>
        <v>1039927.69</v>
      </c>
      <c r="H40" s="48">
        <f>H39+'Página8'!H40</f>
        <v>475499.17</v>
      </c>
      <c r="I40" s="48">
        <f>I39+'Página8'!I40</f>
        <v>993170.2</v>
      </c>
      <c r="J40" s="48">
        <f>J39+'Página8'!J40</f>
        <v>843783.51</v>
      </c>
      <c r="K40" s="48">
        <f>K39+'Página8'!K40</f>
        <v>791297.97</v>
      </c>
      <c r="L40" s="48">
        <f>L39+'Página8'!L40</f>
        <v>791829.72</v>
      </c>
      <c r="M40" s="48">
        <f>M39+'Página8'!M40</f>
        <v>487384.57</v>
      </c>
      <c r="N40" s="48">
        <f>N39+'Página8'!N40</f>
        <v>708394.91</v>
      </c>
      <c r="O40" s="48">
        <f>O39+'Página8'!O40</f>
        <v>344197.43</v>
      </c>
    </row>
    <row r="41">
      <c r="A41" s="34">
        <v>43556.0</v>
      </c>
      <c r="B41" s="48">
        <f>B40+'Página8'!B41</f>
        <v>1520561.76</v>
      </c>
      <c r="C41" s="48">
        <f>C40+'Página8'!C41</f>
        <v>1263876.22</v>
      </c>
      <c r="D41" s="48">
        <f>D40+'Página8'!D41</f>
        <v>1199346.63</v>
      </c>
      <c r="E41" s="48">
        <f>E40+'Página8'!E41</f>
        <v>1187558.18</v>
      </c>
      <c r="F41" s="48">
        <f>F40+'Página8'!F41</f>
        <v>708297.02</v>
      </c>
      <c r="G41" s="48">
        <f>G40+'Página8'!G41</f>
        <v>1067297.36</v>
      </c>
      <c r="H41" s="48">
        <f>H40+'Página8'!H41</f>
        <v>488013.75</v>
      </c>
      <c r="I41" s="48">
        <f>I40+'Página8'!I41</f>
        <v>1019393.57</v>
      </c>
      <c r="J41" s="48">
        <f>J40+'Página8'!J41</f>
        <v>866979.25</v>
      </c>
      <c r="K41" s="48">
        <f>K40+'Página8'!K41</f>
        <v>812129.37</v>
      </c>
      <c r="L41" s="48">
        <f>L40+'Página8'!L41</f>
        <v>812274.24</v>
      </c>
      <c r="M41" s="48">
        <f>M40+'Página8'!M41</f>
        <v>499930.55</v>
      </c>
      <c r="N41" s="48">
        <f>N40+'Página8'!N41</f>
        <v>726924.55</v>
      </c>
      <c r="O41" s="48">
        <f>O40+'Página8'!O41</f>
        <v>353141.83</v>
      </c>
    </row>
    <row r="42">
      <c r="A42" s="34">
        <v>43586.0</v>
      </c>
      <c r="B42" s="48">
        <f>B41+'Página8'!B42</f>
        <v>1559855.08</v>
      </c>
      <c r="C42" s="48">
        <f>C41+'Página8'!C42</f>
        <v>1297674.64</v>
      </c>
      <c r="D42" s="48">
        <f>D41+'Página8'!D42</f>
        <v>1230283.54</v>
      </c>
      <c r="E42" s="48">
        <f>E41+'Página8'!E42</f>
        <v>1217561.8</v>
      </c>
      <c r="F42" s="48">
        <f>F41+'Página8'!F42</f>
        <v>726193.07</v>
      </c>
      <c r="G42" s="48">
        <f>G41+'Página8'!G42</f>
        <v>1094667.03</v>
      </c>
      <c r="H42" s="48">
        <f>H41+'Página8'!H42</f>
        <v>500528.33</v>
      </c>
      <c r="I42" s="48">
        <f>I41+'Página8'!I42</f>
        <v>1045616.94</v>
      </c>
      <c r="J42" s="48">
        <f>J41+'Página8'!J42</f>
        <v>890174.99</v>
      </c>
      <c r="K42" s="48">
        <f>K41+'Página8'!K42</f>
        <v>832960.77</v>
      </c>
      <c r="L42" s="48">
        <f>L41+'Página8'!L42</f>
        <v>832718.76</v>
      </c>
      <c r="M42" s="48">
        <f>M41+'Página8'!M42</f>
        <v>512476.53</v>
      </c>
      <c r="N42" s="48">
        <f>N41+'Página8'!N42</f>
        <v>745454.19</v>
      </c>
      <c r="O42" s="48">
        <f>O41+'Página8'!O42</f>
        <v>362086.23</v>
      </c>
    </row>
    <row r="43">
      <c r="A43" s="34">
        <v>43617.0</v>
      </c>
      <c r="B43" s="48">
        <f>B42+'Página8'!B43</f>
        <v>1599148.4</v>
      </c>
      <c r="C43" s="48">
        <f>C42+'Página8'!C43</f>
        <v>1331473.06</v>
      </c>
      <c r="D43" s="48">
        <f>D42+'Página8'!D43</f>
        <v>1261220.45</v>
      </c>
      <c r="E43" s="48">
        <f>E42+'Página8'!E43</f>
        <v>1247565.42</v>
      </c>
      <c r="F43" s="48">
        <f>F42+'Página8'!F43</f>
        <v>744089.12</v>
      </c>
      <c r="G43" s="48">
        <f>G42+'Página8'!G43</f>
        <v>1122036.7</v>
      </c>
      <c r="H43" s="48">
        <f>H42+'Página8'!H43</f>
        <v>513042.91</v>
      </c>
      <c r="I43" s="48">
        <f>I42+'Página8'!I43</f>
        <v>1071840.31</v>
      </c>
      <c r="J43" s="48">
        <f>J42+'Página8'!J43</f>
        <v>913370.73</v>
      </c>
      <c r="K43" s="48">
        <f>K42+'Página8'!K43</f>
        <v>853792.17</v>
      </c>
      <c r="L43" s="48">
        <f>L42+'Página8'!L43</f>
        <v>853163.28</v>
      </c>
      <c r="M43" s="48">
        <f>M42+'Página8'!M43</f>
        <v>525022.51</v>
      </c>
      <c r="N43" s="48">
        <f>N42+'Página8'!N43</f>
        <v>763983.83</v>
      </c>
      <c r="O43" s="48">
        <f>O42+'Página8'!O43</f>
        <v>371030.63</v>
      </c>
    </row>
    <row r="44">
      <c r="A44" s="34">
        <v>43647.0</v>
      </c>
      <c r="B44" s="48">
        <f>B43+'Página8'!B44</f>
        <v>1638441.72</v>
      </c>
      <c r="C44" s="48">
        <f>C43+'Página8'!C44</f>
        <v>1365271.48</v>
      </c>
      <c r="D44" s="48">
        <f>D43+'Página8'!D44</f>
        <v>1292157.36</v>
      </c>
      <c r="E44" s="48">
        <f>E43+'Página8'!E44</f>
        <v>1277569.04</v>
      </c>
      <c r="F44" s="48">
        <f>F43+'Página8'!F44</f>
        <v>761985.17</v>
      </c>
      <c r="G44" s="48">
        <f>G43+'Página8'!G44</f>
        <v>1149406.37</v>
      </c>
      <c r="H44" s="48">
        <f>H43+'Página8'!H44</f>
        <v>525557.49</v>
      </c>
      <c r="I44" s="48">
        <f>I43+'Página8'!I44</f>
        <v>1098063.68</v>
      </c>
      <c r="J44" s="48">
        <f>J43+'Página8'!J44</f>
        <v>936566.47</v>
      </c>
      <c r="K44" s="48">
        <f>K43+'Página8'!K44</f>
        <v>874623.57</v>
      </c>
      <c r="L44" s="48">
        <f>L43+'Página8'!L44</f>
        <v>873607.8</v>
      </c>
      <c r="M44" s="48">
        <f>M43+'Página8'!M44</f>
        <v>537568.49</v>
      </c>
      <c r="N44" s="48">
        <f>N43+'Página8'!N44</f>
        <v>782513.47</v>
      </c>
      <c r="O44" s="48">
        <f>O43+'Página8'!O44</f>
        <v>379975.03</v>
      </c>
    </row>
    <row r="45">
      <c r="A45" s="34">
        <v>43678.0</v>
      </c>
      <c r="B45" s="48">
        <f>B44+'Página8'!B45</f>
        <v>1677735.04</v>
      </c>
      <c r="C45" s="48">
        <f>C44+'Página8'!C45</f>
        <v>1399069.9</v>
      </c>
      <c r="D45" s="48">
        <f>D44+'Página8'!D45</f>
        <v>1323094.27</v>
      </c>
      <c r="E45" s="48">
        <f>E44+'Página8'!E45</f>
        <v>1307572.66</v>
      </c>
      <c r="F45" s="48">
        <f>F44+'Página8'!F45</f>
        <v>779881.22</v>
      </c>
      <c r="G45" s="48">
        <f>G44+'Página8'!G45</f>
        <v>1176776.04</v>
      </c>
      <c r="H45" s="48">
        <f>H44+'Página8'!H45</f>
        <v>538072.07</v>
      </c>
      <c r="I45" s="48">
        <f>I44+'Página8'!I45</f>
        <v>1124287.05</v>
      </c>
      <c r="J45" s="48">
        <f>J44+'Página8'!J45</f>
        <v>959762.21</v>
      </c>
      <c r="K45" s="48">
        <f>K44+'Página8'!K45</f>
        <v>895454.97</v>
      </c>
      <c r="L45" s="48">
        <f>L44+'Página8'!L45</f>
        <v>894052.32</v>
      </c>
      <c r="M45" s="48">
        <f>M44+'Página8'!M45</f>
        <v>550114.47</v>
      </c>
      <c r="N45" s="48">
        <f>N44+'Página8'!N45</f>
        <v>801043.11</v>
      </c>
      <c r="O45" s="48">
        <f>O44+'Página8'!O45</f>
        <v>388919.43</v>
      </c>
    </row>
    <row r="46">
      <c r="A46" s="34">
        <v>43709.0</v>
      </c>
      <c r="B46" s="48">
        <f>B45+'Página8'!B46</f>
        <v>1717028.36</v>
      </c>
      <c r="C46" s="48">
        <f>C45+'Página8'!C46</f>
        <v>1432868.32</v>
      </c>
      <c r="D46" s="48">
        <f>D45+'Página8'!D46</f>
        <v>1354031.18</v>
      </c>
      <c r="E46" s="48">
        <f>E45+'Página8'!E46</f>
        <v>1337576.28</v>
      </c>
      <c r="F46" s="48">
        <f>F45+'Página8'!F46</f>
        <v>797777.27</v>
      </c>
      <c r="G46" s="48">
        <f>G45+'Página8'!G46</f>
        <v>1204145.71</v>
      </c>
      <c r="H46" s="48">
        <f>H45+'Página8'!H46</f>
        <v>550586.65</v>
      </c>
      <c r="I46" s="48">
        <f>I45+'Página8'!I46</f>
        <v>1150510.42</v>
      </c>
      <c r="J46" s="48">
        <f>J45+'Página8'!J46</f>
        <v>982957.95</v>
      </c>
      <c r="K46" s="48">
        <f>K45+'Página8'!K46</f>
        <v>916286.37</v>
      </c>
      <c r="L46" s="48">
        <f>L45+'Página8'!L46</f>
        <v>914496.84</v>
      </c>
      <c r="M46" s="48">
        <f>M45+'Página8'!M46</f>
        <v>562660.45</v>
      </c>
      <c r="N46" s="48">
        <f>N45+'Página8'!N46</f>
        <v>819572.75</v>
      </c>
      <c r="O46" s="48">
        <f>O45+'Página8'!O46</f>
        <v>397863.83</v>
      </c>
    </row>
    <row r="47">
      <c r="A47" s="34">
        <v>43739.0</v>
      </c>
      <c r="B47" s="48">
        <f>B46+'Página8'!B47</f>
        <v>1756321.68</v>
      </c>
      <c r="C47" s="48">
        <f>C46+'Página8'!C47</f>
        <v>1466666.74</v>
      </c>
      <c r="D47" s="48">
        <f>D46+'Página8'!D47</f>
        <v>1384968.09</v>
      </c>
      <c r="E47" s="48">
        <f>E46+'Página8'!E47</f>
        <v>1367579.9</v>
      </c>
      <c r="F47" s="48">
        <f>F46+'Página8'!F47</f>
        <v>815673.32</v>
      </c>
      <c r="G47" s="48">
        <f>G46+'Página8'!G47</f>
        <v>1231515.38</v>
      </c>
      <c r="H47" s="48">
        <f>H46+'Página8'!H47</f>
        <v>563101.23</v>
      </c>
      <c r="I47" s="48">
        <f>I46+'Página8'!I47</f>
        <v>1176733.79</v>
      </c>
      <c r="J47" s="48">
        <f>J46+'Página8'!J47</f>
        <v>1006153.69</v>
      </c>
      <c r="K47" s="48">
        <f>K46+'Página8'!K47</f>
        <v>937117.77</v>
      </c>
      <c r="L47" s="48">
        <f>L46+'Página8'!L47</f>
        <v>934941.36</v>
      </c>
      <c r="M47" s="48">
        <f>M46+'Página8'!M47</f>
        <v>575206.43</v>
      </c>
      <c r="N47" s="48">
        <f>N46+'Página8'!N47</f>
        <v>838102.39</v>
      </c>
      <c r="O47" s="48">
        <f>O46+'Página8'!O47</f>
        <v>406808.23</v>
      </c>
    </row>
    <row r="48">
      <c r="A48" s="34">
        <v>43770.0</v>
      </c>
      <c r="B48" s="48">
        <f>B47+'Página8'!B48</f>
        <v>1795615</v>
      </c>
      <c r="C48" s="48">
        <f>C47+'Página8'!C48</f>
        <v>1500465.16</v>
      </c>
      <c r="D48" s="48">
        <f>D47+'Página8'!D48</f>
        <v>1415905</v>
      </c>
      <c r="E48" s="48">
        <f>E47+'Página8'!E48</f>
        <v>1397583.52</v>
      </c>
      <c r="F48" s="48">
        <f>F47+'Página8'!F48</f>
        <v>833569.37</v>
      </c>
      <c r="G48" s="48">
        <f>G47+'Página8'!G48</f>
        <v>1258885.05</v>
      </c>
      <c r="H48" s="48">
        <f>H47+'Página8'!H48</f>
        <v>575615.81</v>
      </c>
      <c r="I48" s="48">
        <f>I47+'Página8'!I48</f>
        <v>1202957.16</v>
      </c>
      <c r="J48" s="48">
        <f>J47+'Página8'!J48</f>
        <v>1029349.43</v>
      </c>
      <c r="K48" s="48">
        <f>K47+'Página8'!K48</f>
        <v>957949.17</v>
      </c>
      <c r="L48" s="48">
        <f>L47+'Página8'!L48</f>
        <v>955385.88</v>
      </c>
      <c r="M48" s="48">
        <f>M47+'Página8'!M48</f>
        <v>587752.41</v>
      </c>
      <c r="N48" s="48">
        <f>N47+'Página8'!N48</f>
        <v>856632.03</v>
      </c>
      <c r="O48" s="48">
        <f>O47+'Página8'!O48</f>
        <v>415752.63</v>
      </c>
    </row>
    <row r="49">
      <c r="A49" s="34">
        <v>43800.0</v>
      </c>
      <c r="B49" s="48">
        <f>B48+'Página8'!B49</f>
        <v>1887286.32</v>
      </c>
      <c r="C49" s="48">
        <f>C48+'Página8'!C49</f>
        <v>1579316.87</v>
      </c>
      <c r="D49" s="48">
        <f>D48+'Página8'!D49</f>
        <v>1488080.81</v>
      </c>
      <c r="E49" s="48">
        <f>E48+'Página8'!E49</f>
        <v>1467581.97</v>
      </c>
      <c r="F49" s="48">
        <f>F48+'Página8'!F49</f>
        <v>875320.85</v>
      </c>
      <c r="G49" s="48">
        <f>G48+'Página8'!G49</f>
        <v>1322738.49</v>
      </c>
      <c r="H49" s="48">
        <f>H48+'Página8'!H49</f>
        <v>604812.33</v>
      </c>
      <c r="I49" s="48">
        <f>I48+'Página8'!I49</f>
        <v>1264136.29</v>
      </c>
      <c r="J49" s="48">
        <f>J48+'Página8'!J49</f>
        <v>1083465.09</v>
      </c>
      <c r="K49" s="48">
        <f>K48+'Página8'!K49</f>
        <v>1006548.83</v>
      </c>
      <c r="L49" s="48">
        <f>L48+'Página8'!L49</f>
        <v>1003082.94</v>
      </c>
      <c r="M49" s="48">
        <f>M48+'Página8'!M49</f>
        <v>617022.18</v>
      </c>
      <c r="N49" s="48">
        <f>N48+'Página8'!N49</f>
        <v>899861.69</v>
      </c>
      <c r="O49" s="48">
        <f>O48+'Página8'!O49</f>
        <v>436619.9</v>
      </c>
    </row>
    <row r="50">
      <c r="A50" s="34">
        <v>43831.0</v>
      </c>
      <c r="B50" s="48">
        <f>B49+'Página8'!B50</f>
        <v>1926579.64</v>
      </c>
      <c r="C50" s="48">
        <f>C49+'Página8'!C50</f>
        <v>1613685.57</v>
      </c>
      <c r="D50" s="48">
        <f>D49+'Página8'!D50</f>
        <v>1519017.72</v>
      </c>
      <c r="E50" s="48">
        <f>E49+'Página8'!E50</f>
        <v>1497585.59</v>
      </c>
      <c r="F50" s="48">
        <f>F49+'Página8'!F50</f>
        <v>893216.9</v>
      </c>
      <c r="G50" s="48">
        <f>G49+'Página8'!G50</f>
        <v>1350108.16</v>
      </c>
      <c r="H50" s="48">
        <f>H49+'Página8'!H50</f>
        <v>617326.91</v>
      </c>
      <c r="I50" s="48">
        <f>I49+'Página8'!I50</f>
        <v>1290359.66</v>
      </c>
      <c r="J50" s="48">
        <f>J49+'Página8'!J50</f>
        <v>1107074.29</v>
      </c>
      <c r="K50" s="48">
        <f>K49+'Página8'!K50</f>
        <v>1027380.23</v>
      </c>
      <c r="L50" s="48">
        <f>L49+'Página8'!L50</f>
        <v>1023527.46</v>
      </c>
      <c r="M50" s="48">
        <f>M49+'Página8'!M50</f>
        <v>629568.16</v>
      </c>
      <c r="N50" s="48">
        <f>N49+'Página8'!N50</f>
        <v>918391.33</v>
      </c>
      <c r="O50" s="48">
        <f>O49+'Página8'!O50</f>
        <v>445564.3</v>
      </c>
    </row>
    <row r="51">
      <c r="A51" s="34">
        <v>43862.0</v>
      </c>
      <c r="B51" s="48">
        <f>B50+'Página8'!B51</f>
        <v>1965872.96</v>
      </c>
      <c r="C51" s="48">
        <f>C50+'Página8'!C51</f>
        <v>1648054.27</v>
      </c>
      <c r="D51" s="48">
        <f>D50+'Página8'!D51</f>
        <v>1549954.63</v>
      </c>
      <c r="E51" s="48">
        <f>E50+'Página8'!E51</f>
        <v>1527589.21</v>
      </c>
      <c r="F51" s="48">
        <f>F50+'Página8'!F51</f>
        <v>911112.95</v>
      </c>
      <c r="G51" s="48">
        <f>G50+'Página8'!G51</f>
        <v>1377477.83</v>
      </c>
      <c r="H51" s="48">
        <f>H50+'Página8'!H51</f>
        <v>629841.49</v>
      </c>
      <c r="I51" s="48">
        <f>I50+'Página8'!I51</f>
        <v>1316583.03</v>
      </c>
      <c r="J51" s="48">
        <f>J50+'Página8'!J51</f>
        <v>1130683.49</v>
      </c>
      <c r="K51" s="48">
        <f>K50+'Página8'!K51</f>
        <v>1048211.63</v>
      </c>
      <c r="L51" s="48">
        <f>L50+'Página8'!L51</f>
        <v>1043971.98</v>
      </c>
      <c r="M51" s="48">
        <f>M50+'Página8'!M51</f>
        <v>642114.14</v>
      </c>
      <c r="N51" s="48">
        <f>N50+'Página8'!N51</f>
        <v>936920.97</v>
      </c>
      <c r="O51" s="48">
        <f>O50+'Página8'!O51</f>
        <v>454508.7</v>
      </c>
    </row>
    <row r="52">
      <c r="A52" s="34">
        <v>43891.0</v>
      </c>
      <c r="B52" s="48">
        <f>B51+'Página8'!B52</f>
        <v>2005166.28</v>
      </c>
      <c r="C52" s="48">
        <f>C51+'Página8'!C52</f>
        <v>1682684.6</v>
      </c>
      <c r="D52" s="48">
        <f>D51+'Página8'!D52</f>
        <v>1580891.54</v>
      </c>
      <c r="E52" s="48">
        <f>E51+'Página8'!E52</f>
        <v>1557592.83</v>
      </c>
      <c r="F52" s="48">
        <f>F51+'Página8'!F52</f>
        <v>929009</v>
      </c>
      <c r="G52" s="48">
        <f>G51+'Página8'!G52</f>
        <v>1404847.5</v>
      </c>
      <c r="H52" s="48">
        <f>H51+'Página8'!H52</f>
        <v>642356.07</v>
      </c>
      <c r="I52" s="48">
        <f>I51+'Página8'!I52</f>
        <v>1341182.02</v>
      </c>
      <c r="J52" s="48">
        <f>J51+'Página8'!J52</f>
        <v>1153553.39</v>
      </c>
      <c r="K52" s="48">
        <f>K51+'Página8'!K52</f>
        <v>1067903.32</v>
      </c>
      <c r="L52" s="48">
        <f>L51+'Página8'!L52</f>
        <v>1063487.52</v>
      </c>
      <c r="M52" s="48">
        <f>M51+'Página8'!M52</f>
        <v>654370.74</v>
      </c>
      <c r="N52" s="48">
        <f>N51+'Página8'!N52</f>
        <v>954517.8</v>
      </c>
      <c r="O52" s="48">
        <f>O51+'Página8'!O52</f>
        <v>463381.88</v>
      </c>
    </row>
    <row r="53">
      <c r="A53" s="34">
        <v>43922.0</v>
      </c>
      <c r="B53" s="48">
        <f>B52+'Página8'!B53</f>
        <v>2044459.6</v>
      </c>
      <c r="C53" s="48">
        <f>C52+'Página8'!C53</f>
        <v>1717314.93</v>
      </c>
      <c r="D53" s="48">
        <f>D52+'Página8'!D53</f>
        <v>1611828.45</v>
      </c>
      <c r="E53" s="48">
        <f>E52+'Página8'!E53</f>
        <v>1587596.45</v>
      </c>
      <c r="F53" s="48">
        <f>F52+'Página8'!F53</f>
        <v>946905.05</v>
      </c>
      <c r="G53" s="48">
        <f>G52+'Página8'!G53</f>
        <v>1432217.17</v>
      </c>
      <c r="H53" s="48">
        <f>H52+'Página8'!H53</f>
        <v>654870.65</v>
      </c>
      <c r="I53" s="48">
        <f>I52+'Página8'!I53</f>
        <v>1365781.01</v>
      </c>
      <c r="J53" s="48">
        <f>J52+'Página8'!J53</f>
        <v>1176423.29</v>
      </c>
      <c r="K53" s="48">
        <f>K52+'Página8'!K53</f>
        <v>1087595.01</v>
      </c>
      <c r="L53" s="48">
        <f>L52+'Página8'!L53</f>
        <v>1083003.06</v>
      </c>
      <c r="M53" s="48">
        <f>M52+'Página8'!M53</f>
        <v>666627.34</v>
      </c>
      <c r="N53" s="48">
        <f>N52+'Página8'!N53</f>
        <v>972114.63</v>
      </c>
      <c r="O53" s="48">
        <f>O52+'Página8'!O53</f>
        <v>472255.06</v>
      </c>
    </row>
    <row r="54">
      <c r="A54" s="34">
        <v>43952.0</v>
      </c>
      <c r="B54" s="48">
        <f>B53+'Página8'!B54</f>
        <v>2083752.92</v>
      </c>
      <c r="C54" s="48">
        <f>C53+'Página8'!C54</f>
        <v>1751945.26</v>
      </c>
      <c r="D54" s="48">
        <f>D53+'Página8'!D54</f>
        <v>1642765.36</v>
      </c>
      <c r="E54" s="48">
        <f>E53+'Página8'!E54</f>
        <v>1617600.07</v>
      </c>
      <c r="F54" s="48">
        <f>F53+'Página8'!F54</f>
        <v>964801.1</v>
      </c>
      <c r="G54" s="48">
        <f>G53+'Página8'!G54</f>
        <v>1459586.84</v>
      </c>
      <c r="H54" s="48">
        <f>H53+'Página8'!H54</f>
        <v>667385.23</v>
      </c>
      <c r="I54" s="48">
        <f>I53+'Página8'!I54</f>
        <v>1390380</v>
      </c>
      <c r="J54" s="48">
        <f>J53+'Página8'!J54</f>
        <v>1199293.19</v>
      </c>
      <c r="K54" s="48">
        <f>K53+'Página8'!K54</f>
        <v>1107286.7</v>
      </c>
      <c r="L54" s="48">
        <f>L53+'Página8'!L54</f>
        <v>1102518.6</v>
      </c>
      <c r="M54" s="48">
        <f>M53+'Página8'!M54</f>
        <v>678883.94</v>
      </c>
      <c r="N54" s="48">
        <f>N53+'Página8'!N54</f>
        <v>989711.46</v>
      </c>
      <c r="O54" s="48">
        <f>O53+'Página8'!O54</f>
        <v>481128.24</v>
      </c>
    </row>
    <row r="55">
      <c r="A55" s="34">
        <v>43983.0</v>
      </c>
      <c r="B55" s="48">
        <f>B54+'Página8'!B55</f>
        <v>2123046.24</v>
      </c>
      <c r="C55" s="48">
        <f>C54+'Página8'!C55</f>
        <v>1786575.59</v>
      </c>
      <c r="D55" s="48">
        <f>D54+'Página8'!D55</f>
        <v>1673702.27</v>
      </c>
      <c r="E55" s="48">
        <f>E54+'Página8'!E55</f>
        <v>1647603.69</v>
      </c>
      <c r="F55" s="48">
        <f>F54+'Página8'!F55</f>
        <v>982697.15</v>
      </c>
      <c r="G55" s="48">
        <f>G54+'Página8'!G55</f>
        <v>1486956.51</v>
      </c>
      <c r="H55" s="48">
        <f>H54+'Página8'!H55</f>
        <v>679899.81</v>
      </c>
      <c r="I55" s="48">
        <f>I54+'Página8'!I55</f>
        <v>1414978.99</v>
      </c>
      <c r="J55" s="48">
        <f>J54+'Página8'!J55</f>
        <v>1222163.09</v>
      </c>
      <c r="K55" s="48">
        <f>K54+'Página8'!K55</f>
        <v>1126978.39</v>
      </c>
      <c r="L55" s="48">
        <f>L54+'Página8'!L55</f>
        <v>1122034.14</v>
      </c>
      <c r="M55" s="48">
        <f>M54+'Página8'!M55</f>
        <v>691140.54</v>
      </c>
      <c r="N55" s="48">
        <f>N54+'Página8'!N55</f>
        <v>1007308.29</v>
      </c>
      <c r="O55" s="48">
        <f>O54+'Página8'!O55</f>
        <v>490001.42</v>
      </c>
    </row>
    <row r="56">
      <c r="A56" s="34">
        <v>44013.0</v>
      </c>
      <c r="B56" s="48">
        <f>B55+'Página8'!B56</f>
        <v>2162339.56</v>
      </c>
      <c r="C56" s="48">
        <f>C55+'Página8'!C56</f>
        <v>1821205.92</v>
      </c>
      <c r="D56" s="48">
        <f>D55+'Página8'!D56</f>
        <v>1704639.18</v>
      </c>
      <c r="E56" s="48">
        <f>E55+'Página8'!E56</f>
        <v>1677607.31</v>
      </c>
      <c r="F56" s="48">
        <f>F55+'Página8'!F56</f>
        <v>1000593.2</v>
      </c>
      <c r="G56" s="48">
        <f>G55+'Página8'!G56</f>
        <v>1514326.18</v>
      </c>
      <c r="H56" s="48">
        <f>H55+'Página8'!H56</f>
        <v>692414.39</v>
      </c>
      <c r="I56" s="48">
        <f>I55+'Página8'!I56</f>
        <v>1439577.98</v>
      </c>
      <c r="J56" s="48">
        <f>J55+'Página8'!J56</f>
        <v>1245032.99</v>
      </c>
      <c r="K56" s="48">
        <f>K55+'Página8'!K56</f>
        <v>1146670.08</v>
      </c>
      <c r="L56" s="48">
        <f>L55+'Página8'!L56</f>
        <v>1141549.68</v>
      </c>
      <c r="M56" s="48">
        <f>M55+'Página8'!M56</f>
        <v>703397.14</v>
      </c>
      <c r="N56" s="48">
        <f>N55+'Página8'!N56</f>
        <v>1024905.12</v>
      </c>
      <c r="O56" s="48">
        <f>O55+'Página8'!O56</f>
        <v>498874.6</v>
      </c>
    </row>
    <row r="57">
      <c r="A57" s="34">
        <v>44044.0</v>
      </c>
      <c r="B57" s="48">
        <f>B56+'Página8'!B57</f>
        <v>2201632.88</v>
      </c>
      <c r="C57" s="48">
        <f>C56+'Página8'!C57</f>
        <v>1855836.25</v>
      </c>
      <c r="D57" s="48">
        <f>D56+'Página8'!D57</f>
        <v>1735576.09</v>
      </c>
      <c r="E57" s="48">
        <f>E56+'Página8'!E57</f>
        <v>1707610.93</v>
      </c>
      <c r="F57" s="48">
        <f>F56+'Página8'!F57</f>
        <v>1018489.25</v>
      </c>
      <c r="G57" s="48">
        <f>G56+'Página8'!G57</f>
        <v>1541695.85</v>
      </c>
      <c r="H57" s="48">
        <f>H56+'Página8'!H57</f>
        <v>704928.97</v>
      </c>
      <c r="I57" s="48">
        <f>I56+'Página8'!I57</f>
        <v>1464176.97</v>
      </c>
      <c r="J57" s="48">
        <f>J56+'Página8'!J57</f>
        <v>1267902.89</v>
      </c>
      <c r="K57" s="48">
        <f>K56+'Página8'!K57</f>
        <v>1166361.77</v>
      </c>
      <c r="L57" s="48">
        <f>L56+'Página8'!L57</f>
        <v>1161065.22</v>
      </c>
      <c r="M57" s="48">
        <f>M56+'Página8'!M57</f>
        <v>715653.74</v>
      </c>
      <c r="N57" s="48">
        <f>N56+'Página8'!N57</f>
        <v>1042501.95</v>
      </c>
      <c r="O57" s="48">
        <f>O56+'Página8'!O57</f>
        <v>507747.78</v>
      </c>
    </row>
    <row r="58">
      <c r="A58" s="34">
        <v>44075.0</v>
      </c>
      <c r="B58" s="48">
        <f>B57+'Página8'!B58</f>
        <v>2240926.2</v>
      </c>
      <c r="C58" s="48">
        <f>C57+'Página8'!C58</f>
        <v>1890466.58</v>
      </c>
      <c r="D58" s="48">
        <f>D57+'Página8'!D58</f>
        <v>1766513</v>
      </c>
      <c r="E58" s="48">
        <f>E57+'Página8'!E58</f>
        <v>1737614.55</v>
      </c>
      <c r="F58" s="48">
        <f>F57+'Página8'!F58</f>
        <v>1036385.3</v>
      </c>
      <c r="G58" s="48">
        <f>G57+'Página8'!G58</f>
        <v>1569065.52</v>
      </c>
      <c r="H58" s="48">
        <f>H57+'Página8'!H58</f>
        <v>717443.55</v>
      </c>
      <c r="I58" s="48">
        <f>I57+'Página8'!I58</f>
        <v>1488775.96</v>
      </c>
      <c r="J58" s="48">
        <f>J57+'Página8'!J58</f>
        <v>1290772.79</v>
      </c>
      <c r="K58" s="48">
        <f>K57+'Página8'!K58</f>
        <v>1186053.46</v>
      </c>
      <c r="L58" s="48">
        <f>L57+'Página8'!L58</f>
        <v>1180580.76</v>
      </c>
      <c r="M58" s="48">
        <f>M57+'Página8'!M58</f>
        <v>727910.34</v>
      </c>
      <c r="N58" s="48">
        <f>N57+'Página8'!N58</f>
        <v>1060098.78</v>
      </c>
      <c r="O58" s="48">
        <f>O57+'Página8'!O58</f>
        <v>516620.96</v>
      </c>
    </row>
    <row r="59">
      <c r="A59" s="34">
        <v>44105.0</v>
      </c>
      <c r="B59" s="48">
        <f>B58+'Página8'!B59</f>
        <v>2280219.52</v>
      </c>
      <c r="C59" s="48">
        <f>C58+'Página8'!C59</f>
        <v>1925096.91</v>
      </c>
      <c r="D59" s="48">
        <f>D58+'Página8'!D59</f>
        <v>1797449.91</v>
      </c>
      <c r="E59" s="48">
        <f>E58+'Página8'!E59</f>
        <v>1767618.17</v>
      </c>
      <c r="F59" s="48">
        <f>F58+'Página8'!F59</f>
        <v>1054281.35</v>
      </c>
      <c r="G59" s="48">
        <f>G58+'Página8'!G59</f>
        <v>1596435.19</v>
      </c>
      <c r="H59" s="48">
        <f>H58+'Página8'!H59</f>
        <v>729958.13</v>
      </c>
      <c r="I59" s="48">
        <f>I58+'Página8'!I59</f>
        <v>1513374.95</v>
      </c>
      <c r="J59" s="48">
        <f>J58+'Página8'!J59</f>
        <v>1313642.69</v>
      </c>
      <c r="K59" s="48">
        <f>K58+'Página8'!K59</f>
        <v>1205745.15</v>
      </c>
      <c r="L59" s="48">
        <f>L58+'Página8'!L59</f>
        <v>1200096.3</v>
      </c>
      <c r="M59" s="48">
        <f>M58+'Página8'!M59</f>
        <v>740166.94</v>
      </c>
      <c r="N59" s="48">
        <f>N58+'Página8'!N59</f>
        <v>1077695.61</v>
      </c>
      <c r="O59" s="48">
        <f>O58+'Página8'!O59</f>
        <v>525494.14</v>
      </c>
    </row>
    <row r="60">
      <c r="A60" s="34">
        <v>44136.0</v>
      </c>
      <c r="B60" s="48">
        <f>B59+'Página8'!B60</f>
        <v>2319512.84</v>
      </c>
      <c r="C60" s="48">
        <f>C59+'Página8'!C60</f>
        <v>1959727.24</v>
      </c>
      <c r="D60" s="48">
        <f>D59+'Página8'!D60</f>
        <v>1828386.82</v>
      </c>
      <c r="E60" s="48">
        <f>E59+'Página8'!E60</f>
        <v>1797621.79</v>
      </c>
      <c r="F60" s="48">
        <f>F59+'Página8'!F60</f>
        <v>1072177.4</v>
      </c>
      <c r="G60" s="48">
        <f>G59+'Página8'!G60</f>
        <v>1623804.86</v>
      </c>
      <c r="H60" s="48">
        <f>H59+'Página8'!H60</f>
        <v>742472.71</v>
      </c>
      <c r="I60" s="48">
        <f>I59+'Página8'!I60</f>
        <v>1537973.94</v>
      </c>
      <c r="J60" s="48">
        <f>J59+'Página8'!J60</f>
        <v>1336512.59</v>
      </c>
      <c r="K60" s="48">
        <f>K59+'Página8'!K60</f>
        <v>1225436.84</v>
      </c>
      <c r="L60" s="48">
        <f>L59+'Página8'!L60</f>
        <v>1219611.84</v>
      </c>
      <c r="M60" s="48">
        <f>M59+'Página8'!M60</f>
        <v>752423.54</v>
      </c>
      <c r="N60" s="48">
        <f>N59+'Página8'!N60</f>
        <v>1095292.44</v>
      </c>
      <c r="O60" s="48">
        <f>O59+'Página8'!O60</f>
        <v>534367.32</v>
      </c>
    </row>
    <row r="61">
      <c r="A61" s="34">
        <v>44166.0</v>
      </c>
      <c r="B61" s="48">
        <f>B60+'Página8'!B61</f>
        <v>2411184.16</v>
      </c>
      <c r="C61" s="48">
        <f>C60+'Página8'!C61</f>
        <v>2040519.8</v>
      </c>
      <c r="D61" s="48">
        <f>D60+'Página8'!D61</f>
        <v>1900562.63</v>
      </c>
      <c r="E61" s="48">
        <f>E60+'Página8'!E61</f>
        <v>1867620.24</v>
      </c>
      <c r="F61" s="48">
        <f>F60+'Página8'!F61</f>
        <v>1113928.88</v>
      </c>
      <c r="G61" s="48">
        <f>G60+'Página8'!G61</f>
        <v>1687658.3</v>
      </c>
      <c r="H61" s="48">
        <f>H60+'Página8'!H61</f>
        <v>771669.23</v>
      </c>
      <c r="I61" s="48">
        <f>I60+'Página8'!I61</f>
        <v>1595363.39</v>
      </c>
      <c r="J61" s="48">
        <f>J60+'Página8'!J61</f>
        <v>1389868.07</v>
      </c>
      <c r="K61" s="48">
        <f>K60+'Página8'!K61</f>
        <v>1271377.56</v>
      </c>
      <c r="L61" s="48">
        <f>L60+'Página8'!L61</f>
        <v>1265141.6</v>
      </c>
      <c r="M61" s="48">
        <f>M60+'Página8'!M61</f>
        <v>781018.19</v>
      </c>
      <c r="N61" s="48">
        <f>N60+'Página8'!N61</f>
        <v>1136345.84</v>
      </c>
      <c r="O61" s="48">
        <f>O60+'Página8'!O61</f>
        <v>555068.45</v>
      </c>
    </row>
    <row r="62">
      <c r="A62" s="34">
        <v>44197.0</v>
      </c>
      <c r="B62" s="48">
        <f>B61+'Página8'!B62</f>
        <v>2450477.48</v>
      </c>
      <c r="C62" s="48">
        <f>C61+'Página8'!C62</f>
        <v>2076458.28</v>
      </c>
      <c r="D62" s="48">
        <f>D61+'Página8'!D62</f>
        <v>1931499.54</v>
      </c>
      <c r="E62" s="48">
        <f>E61+'Página8'!E62</f>
        <v>1897623.86</v>
      </c>
      <c r="F62" s="48">
        <f>F61+'Página8'!F62</f>
        <v>1131824.93</v>
      </c>
      <c r="G62" s="48">
        <f>G61+'Página8'!G62</f>
        <v>1715027.97</v>
      </c>
      <c r="H62" s="48">
        <f>H61+'Página8'!H62</f>
        <v>784183.81</v>
      </c>
      <c r="I62" s="48">
        <f>I61+'Página8'!I62</f>
        <v>1619998.03</v>
      </c>
      <c r="J62" s="48">
        <f>J61+'Página8'!J62</f>
        <v>1413722.02</v>
      </c>
      <c r="K62" s="48">
        <f>K61+'Página8'!K62</f>
        <v>1291104.89</v>
      </c>
      <c r="L62" s="48">
        <f>L61+'Página8'!L62</f>
        <v>1284692.78</v>
      </c>
      <c r="M62" s="48">
        <f>M61+'Página8'!M62</f>
        <v>793310.43</v>
      </c>
      <c r="N62" s="48">
        <f>N61+'Página8'!N62</f>
        <v>1153978.31</v>
      </c>
      <c r="O62" s="48">
        <f>O61+'Página8'!O62</f>
        <v>563977.27</v>
      </c>
    </row>
    <row r="63">
      <c r="A63" s="34">
        <v>44228.0</v>
      </c>
      <c r="B63" s="48">
        <f>B62+'Página8'!B63</f>
        <v>2489770.8</v>
      </c>
      <c r="C63" s="48">
        <f>C62+'Página8'!C63</f>
        <v>2112396.76</v>
      </c>
      <c r="D63" s="48">
        <f>D62+'Página8'!D63</f>
        <v>1962436.45</v>
      </c>
      <c r="E63" s="48">
        <f>E62+'Página8'!E63</f>
        <v>1927627.48</v>
      </c>
      <c r="F63" s="48">
        <f>F62+'Página8'!F63</f>
        <v>1149720.98</v>
      </c>
      <c r="G63" s="48">
        <f>G62+'Página8'!G63</f>
        <v>1742397.64</v>
      </c>
      <c r="H63" s="48">
        <f>H62+'Página8'!H63</f>
        <v>796698.39</v>
      </c>
      <c r="I63" s="48">
        <f>I62+'Página8'!I63</f>
        <v>1644632.67</v>
      </c>
      <c r="J63" s="48">
        <f>J62+'Página8'!J63</f>
        <v>1437575.97</v>
      </c>
      <c r="K63" s="48">
        <f>K62+'Página8'!K63</f>
        <v>1310832.22</v>
      </c>
      <c r="L63" s="48">
        <f>L62+'Página8'!L63</f>
        <v>1304243.96</v>
      </c>
      <c r="M63" s="48">
        <f>M62+'Página8'!M63</f>
        <v>805602.67</v>
      </c>
      <c r="N63" s="48">
        <f>N62+'Página8'!N63</f>
        <v>1171610.78</v>
      </c>
      <c r="O63" s="48">
        <f>O62+'Página8'!O63</f>
        <v>572886.09</v>
      </c>
    </row>
    <row r="64">
      <c r="A64" s="34">
        <v>44256.0</v>
      </c>
      <c r="B64" s="48">
        <f>B63+'Página8'!B64</f>
        <v>2529064.12</v>
      </c>
      <c r="C64" s="48">
        <f>C63+'Página8'!C64</f>
        <v>2148335.24</v>
      </c>
      <c r="D64" s="48">
        <f>D63+'Página8'!D64</f>
        <v>1993373.36</v>
      </c>
      <c r="E64" s="48">
        <f>E63+'Página8'!E64</f>
        <v>1957631.1</v>
      </c>
      <c r="F64" s="48">
        <f>F63+'Página8'!F64</f>
        <v>1167617.03</v>
      </c>
      <c r="G64" s="48">
        <f>G63+'Página8'!G64</f>
        <v>1769767.31</v>
      </c>
      <c r="H64" s="48">
        <f>H63+'Página8'!H64</f>
        <v>809212.97</v>
      </c>
      <c r="I64" s="48">
        <f>I63+'Página8'!I64</f>
        <v>1669267.31</v>
      </c>
      <c r="J64" s="48">
        <f>J63+'Página8'!J64</f>
        <v>1461429.92</v>
      </c>
      <c r="K64" s="48">
        <f>K63+'Página8'!K64</f>
        <v>1330559.55</v>
      </c>
      <c r="L64" s="48">
        <f>L63+'Página8'!L64</f>
        <v>1323795.14</v>
      </c>
      <c r="M64" s="48">
        <f>M63+'Página8'!M64</f>
        <v>817894.91</v>
      </c>
      <c r="N64" s="48">
        <f>N63+'Página8'!N64</f>
        <v>1189243.25</v>
      </c>
      <c r="O64" s="48">
        <f>O63+'Página8'!O64</f>
        <v>581794.91</v>
      </c>
    </row>
    <row r="65">
      <c r="A65" s="34">
        <v>44287.0</v>
      </c>
      <c r="B65" s="48">
        <f>B64+'Página8'!B65</f>
        <v>2568357.44</v>
      </c>
      <c r="C65" s="48">
        <f>C64+'Página8'!C65</f>
        <v>2184273.72</v>
      </c>
      <c r="D65" s="48">
        <f>D64+'Página8'!D65</f>
        <v>2024310.27</v>
      </c>
      <c r="E65" s="48">
        <f>E64+'Página8'!E65</f>
        <v>1987634.72</v>
      </c>
      <c r="F65" s="48">
        <f>F64+'Página8'!F65</f>
        <v>1185513.08</v>
      </c>
      <c r="G65" s="48">
        <f>G64+'Página8'!G65</f>
        <v>1797136.98</v>
      </c>
      <c r="H65" s="48">
        <f>H64+'Página8'!H65</f>
        <v>821727.55</v>
      </c>
      <c r="I65" s="48">
        <f>I64+'Página8'!I65</f>
        <v>1693901.95</v>
      </c>
      <c r="J65" s="48">
        <f>J64+'Página8'!J65</f>
        <v>1485283.87</v>
      </c>
      <c r="K65" s="48">
        <f>K64+'Página8'!K65</f>
        <v>1350286.88</v>
      </c>
      <c r="L65" s="48">
        <f>L64+'Página8'!L65</f>
        <v>1343346.32</v>
      </c>
      <c r="M65" s="48">
        <f>M64+'Página8'!M65</f>
        <v>830187.15</v>
      </c>
      <c r="N65" s="48">
        <f>N64+'Página8'!N65</f>
        <v>1206875.72</v>
      </c>
      <c r="O65" s="48">
        <f>O64+'Página8'!O65</f>
        <v>590703.73</v>
      </c>
    </row>
    <row r="66">
      <c r="A66" s="34">
        <v>44317.0</v>
      </c>
      <c r="B66" s="48">
        <f>B65+'Página8'!B66</f>
        <v>2607650.76</v>
      </c>
      <c r="C66" s="48">
        <f>C65+'Página8'!C66</f>
        <v>2220212.2</v>
      </c>
      <c r="D66" s="48">
        <f>D65+'Página8'!D66</f>
        <v>2055247.18</v>
      </c>
      <c r="E66" s="48">
        <f>E65+'Página8'!E66</f>
        <v>2017638.34</v>
      </c>
      <c r="F66" s="48">
        <f>F65+'Página8'!F66</f>
        <v>1203409.13</v>
      </c>
      <c r="G66" s="48">
        <f>G65+'Página8'!G66</f>
        <v>1824506.65</v>
      </c>
      <c r="H66" s="48">
        <f>H65+'Página8'!H66</f>
        <v>834242.13</v>
      </c>
      <c r="I66" s="48">
        <f>I65+'Página8'!I66</f>
        <v>1718536.59</v>
      </c>
      <c r="J66" s="48">
        <f>J65+'Página8'!J66</f>
        <v>1509137.82</v>
      </c>
      <c r="K66" s="48">
        <f>K65+'Página8'!K66</f>
        <v>1370014.21</v>
      </c>
      <c r="L66" s="48">
        <f>L65+'Página8'!L66</f>
        <v>1362897.5</v>
      </c>
      <c r="M66" s="48">
        <f>M65+'Página8'!M66</f>
        <v>842479.39</v>
      </c>
      <c r="N66" s="48">
        <f>N65+'Página8'!N66</f>
        <v>1224508.19</v>
      </c>
      <c r="O66" s="48">
        <f>O65+'Página8'!O66</f>
        <v>599612.55</v>
      </c>
    </row>
    <row r="67">
      <c r="A67" s="34">
        <v>44348.0</v>
      </c>
      <c r="B67" s="48">
        <f>B66+'Página8'!B67</f>
        <v>2646944.08</v>
      </c>
      <c r="C67" s="48">
        <f>C66+'Página8'!C67</f>
        <v>2256150.68</v>
      </c>
      <c r="D67" s="48">
        <f>D66+'Página8'!D67</f>
        <v>2086184.09</v>
      </c>
      <c r="E67" s="48">
        <f>E66+'Página8'!E67</f>
        <v>2047641.96</v>
      </c>
      <c r="F67" s="48">
        <f>F66+'Página8'!F67</f>
        <v>1221305.18</v>
      </c>
      <c r="G67" s="48">
        <f>G66+'Página8'!G67</f>
        <v>1851876.32</v>
      </c>
      <c r="H67" s="48">
        <f>H66+'Página8'!H67</f>
        <v>846756.71</v>
      </c>
      <c r="I67" s="48">
        <f>I66+'Página8'!I67</f>
        <v>1743171.23</v>
      </c>
      <c r="J67" s="48">
        <f>J66+'Página8'!J67</f>
        <v>1532991.77</v>
      </c>
      <c r="K67" s="48">
        <f>K66+'Página8'!K67</f>
        <v>1389741.54</v>
      </c>
      <c r="L67" s="48">
        <f>L66+'Página8'!L67</f>
        <v>1382448.68</v>
      </c>
      <c r="M67" s="48">
        <f>M66+'Página8'!M67</f>
        <v>854771.63</v>
      </c>
      <c r="N67" s="48">
        <f>N66+'Página8'!N67</f>
        <v>1242140.66</v>
      </c>
      <c r="O67" s="48">
        <f>O66+'Página8'!O67</f>
        <v>608521.37</v>
      </c>
    </row>
    <row r="68">
      <c r="A68" s="34">
        <v>44378.0</v>
      </c>
      <c r="B68" s="48">
        <f>B67+'Página8'!B68</f>
        <v>2686237.4</v>
      </c>
      <c r="C68" s="48">
        <f>C67+'Página8'!C68</f>
        <v>2292089.16</v>
      </c>
      <c r="D68" s="48">
        <f>D67+'Página8'!D68</f>
        <v>2117121</v>
      </c>
      <c r="E68" s="48">
        <f>E67+'Página8'!E68</f>
        <v>2077645.58</v>
      </c>
      <c r="F68" s="48">
        <f>F67+'Página8'!F68</f>
        <v>1239201.23</v>
      </c>
      <c r="G68" s="48">
        <f>G67+'Página8'!G68</f>
        <v>1879245.99</v>
      </c>
      <c r="H68" s="48">
        <f>H67+'Página8'!H68</f>
        <v>859271.29</v>
      </c>
      <c r="I68" s="48">
        <f>I67+'Página8'!I68</f>
        <v>1767805.87</v>
      </c>
      <c r="J68" s="48">
        <f>J67+'Página8'!J68</f>
        <v>1556845.72</v>
      </c>
      <c r="K68" s="48">
        <f>K67+'Página8'!K68</f>
        <v>1409468.87</v>
      </c>
      <c r="L68" s="48">
        <f>L67+'Página8'!L68</f>
        <v>1401999.86</v>
      </c>
      <c r="M68" s="48">
        <f>M67+'Página8'!M68</f>
        <v>867063.87</v>
      </c>
      <c r="N68" s="48">
        <f>N67+'Página8'!N68</f>
        <v>1259773.13</v>
      </c>
      <c r="O68" s="48">
        <f>O67+'Página8'!O68</f>
        <v>617430.19</v>
      </c>
    </row>
    <row r="69">
      <c r="A69" s="34">
        <v>44409.0</v>
      </c>
      <c r="B69" s="48">
        <f>B68+'Página8'!B69</f>
        <v>2725530.72</v>
      </c>
      <c r="C69" s="48">
        <f>C68+'Página8'!C69</f>
        <v>2328027.64</v>
      </c>
      <c r="D69" s="48">
        <f>D68+'Página8'!D69</f>
        <v>2148057.91</v>
      </c>
      <c r="E69" s="48">
        <f>E68+'Página8'!E69</f>
        <v>2107649.2</v>
      </c>
      <c r="F69" s="48">
        <f>F68+'Página8'!F69</f>
        <v>1257097.28</v>
      </c>
      <c r="G69" s="48">
        <f>G68+'Página8'!G69</f>
        <v>1906615.66</v>
      </c>
      <c r="H69" s="48">
        <f>H68+'Página8'!H69</f>
        <v>871785.87</v>
      </c>
      <c r="I69" s="48">
        <f>I68+'Página8'!I69</f>
        <v>1792440.51</v>
      </c>
      <c r="J69" s="48">
        <f>J68+'Página8'!J69</f>
        <v>1580699.67</v>
      </c>
      <c r="K69" s="48">
        <f>K68+'Página8'!K69</f>
        <v>1429196.2</v>
      </c>
      <c r="L69" s="48">
        <f>L68+'Página8'!L69</f>
        <v>1421551.04</v>
      </c>
      <c r="M69" s="48">
        <f>M68+'Página8'!M69</f>
        <v>879356.11</v>
      </c>
      <c r="N69" s="48">
        <f>N68+'Página8'!N69</f>
        <v>1277405.6</v>
      </c>
      <c r="O69" s="48">
        <f>O68+'Página8'!O69</f>
        <v>626339.01</v>
      </c>
    </row>
    <row r="70">
      <c r="A70" s="34">
        <v>44440.0</v>
      </c>
      <c r="B70" s="48">
        <f>B69+'Página8'!B70</f>
        <v>2764824.04</v>
      </c>
      <c r="C70" s="48">
        <f>C69+'Página8'!C70</f>
        <v>2363966.12</v>
      </c>
      <c r="D70" s="48">
        <f>D69+'Página8'!D70</f>
        <v>2178994.82</v>
      </c>
      <c r="E70" s="48">
        <f>E69+'Página8'!E70</f>
        <v>2137652.82</v>
      </c>
      <c r="F70" s="48">
        <f>F69+'Página8'!F70</f>
        <v>1274993.33</v>
      </c>
      <c r="G70" s="48">
        <f>G69+'Página8'!G70</f>
        <v>1933985.33</v>
      </c>
      <c r="H70" s="48">
        <f>H69+'Página8'!H70</f>
        <v>884300.45</v>
      </c>
      <c r="I70" s="48">
        <f>I69+'Página8'!I70</f>
        <v>1817075.15</v>
      </c>
      <c r="J70" s="48">
        <f>J69+'Página8'!J70</f>
        <v>1604553.62</v>
      </c>
      <c r="K70" s="48">
        <f>K69+'Página8'!K70</f>
        <v>1448923.53</v>
      </c>
      <c r="L70" s="48">
        <f>L69+'Página8'!L70</f>
        <v>1441102.22</v>
      </c>
      <c r="M70" s="48">
        <f>M69+'Página8'!M70</f>
        <v>891648.35</v>
      </c>
      <c r="N70" s="48">
        <f>N69+'Página8'!N70</f>
        <v>1295038.07</v>
      </c>
      <c r="O70" s="48">
        <f>O69+'Página8'!O70</f>
        <v>635247.83</v>
      </c>
    </row>
    <row r="71">
      <c r="A71" s="34">
        <v>44470.0</v>
      </c>
      <c r="B71" s="48">
        <f>B70+'Página8'!B71</f>
        <v>2804117.36</v>
      </c>
      <c r="C71" s="48">
        <f>C70+'Página8'!C71</f>
        <v>2399904.6</v>
      </c>
      <c r="D71" s="48">
        <f>D70+'Página8'!D71</f>
        <v>2209931.73</v>
      </c>
      <c r="E71" s="48">
        <f>E70+'Página8'!E71</f>
        <v>2167656.44</v>
      </c>
      <c r="F71" s="48">
        <f>F70+'Página8'!F71</f>
        <v>1292889.38</v>
      </c>
      <c r="G71" s="48">
        <f>G70+'Página8'!G71</f>
        <v>1961355</v>
      </c>
      <c r="H71" s="48">
        <f>H70+'Página8'!H71</f>
        <v>896815.03</v>
      </c>
      <c r="I71" s="48">
        <f>I70+'Página8'!I71</f>
        <v>1841709.79</v>
      </c>
      <c r="J71" s="48">
        <f>J70+'Página8'!J71</f>
        <v>1628407.57</v>
      </c>
      <c r="K71" s="48">
        <f>K70+'Página8'!K71</f>
        <v>1468650.86</v>
      </c>
      <c r="L71" s="48">
        <f>L70+'Página8'!L71</f>
        <v>1460653.4</v>
      </c>
      <c r="M71" s="48">
        <f>M70+'Página8'!M71</f>
        <v>903940.59</v>
      </c>
      <c r="N71" s="48">
        <f>N70+'Página8'!N71</f>
        <v>1312670.54</v>
      </c>
      <c r="O71" s="48">
        <f>O70+'Página8'!O71</f>
        <v>644156.65</v>
      </c>
    </row>
    <row r="72">
      <c r="A72" s="34">
        <v>44501.0</v>
      </c>
      <c r="B72" s="48">
        <f>B71+'Página8'!B72</f>
        <v>2843410.68</v>
      </c>
      <c r="C72" s="48">
        <f>C71+'Página8'!C72</f>
        <v>2435843.08</v>
      </c>
      <c r="D72" s="48">
        <f>D71+'Página8'!D72</f>
        <v>2240868.64</v>
      </c>
      <c r="E72" s="48">
        <f>E71+'Página8'!E72</f>
        <v>2197660.06</v>
      </c>
      <c r="F72" s="48">
        <f>F71+'Página8'!F72</f>
        <v>1310785.43</v>
      </c>
      <c r="G72" s="48">
        <f>G71+'Página8'!G72</f>
        <v>1988724.67</v>
      </c>
      <c r="H72" s="48">
        <f>H71+'Página8'!H72</f>
        <v>909329.61</v>
      </c>
      <c r="I72" s="48">
        <f>I71+'Página8'!I72</f>
        <v>1866344.43</v>
      </c>
      <c r="J72" s="48">
        <f>J71+'Página8'!J72</f>
        <v>1652261.52</v>
      </c>
      <c r="K72" s="48">
        <f>K71+'Página8'!K72</f>
        <v>1488378.19</v>
      </c>
      <c r="L72" s="48">
        <f>L71+'Página8'!L72</f>
        <v>1480204.58</v>
      </c>
      <c r="M72" s="48">
        <f>M71+'Página8'!M72</f>
        <v>916232.83</v>
      </c>
      <c r="N72" s="48">
        <f>N71+'Página8'!N72</f>
        <v>1330303.01</v>
      </c>
      <c r="O72" s="48">
        <f>O71+'Página8'!O72</f>
        <v>653065.47</v>
      </c>
    </row>
    <row r="73">
      <c r="A73" s="34">
        <v>44531.0</v>
      </c>
      <c r="B73" s="48">
        <f>B72+'Página8'!B73</f>
        <v>2935082</v>
      </c>
      <c r="C73" s="48">
        <f>C72+'Página8'!C73</f>
        <v>2519687.55</v>
      </c>
      <c r="D73" s="48">
        <f>D72+'Página8'!D73</f>
        <v>2313044.45</v>
      </c>
      <c r="E73" s="48">
        <f>E72+'Página8'!E73</f>
        <v>2267658.51</v>
      </c>
      <c r="F73" s="48">
        <f>F72+'Página8'!F73</f>
        <v>1352536.91</v>
      </c>
      <c r="G73" s="48">
        <f>G72+'Página8'!G73</f>
        <v>2052578.11</v>
      </c>
      <c r="H73" s="48">
        <f>H72+'Página8'!H73</f>
        <v>938526.13</v>
      </c>
      <c r="I73" s="48">
        <f>I72+'Página8'!I73</f>
        <v>1923817.03</v>
      </c>
      <c r="J73" s="48">
        <f>J72+'Página8'!J73</f>
        <v>1707912.77</v>
      </c>
      <c r="K73" s="48">
        <f>K72+'Página8'!K73</f>
        <v>1534402.05</v>
      </c>
      <c r="L73" s="48">
        <f>L72+'Página8'!L73</f>
        <v>1525817.49</v>
      </c>
      <c r="M73" s="48">
        <f>M72+'Página8'!M73</f>
        <v>944910.63</v>
      </c>
      <c r="N73" s="48">
        <f>N72+'Página8'!N73</f>
        <v>1371439.56</v>
      </c>
      <c r="O73" s="48">
        <f>O72+'Página8'!O73</f>
        <v>673849.75</v>
      </c>
    </row>
    <row r="74">
      <c r="A74" s="34">
        <v>44562.0</v>
      </c>
      <c r="B74" s="48">
        <f>B73+'Página8'!B74</f>
        <v>2974375.32</v>
      </c>
      <c r="C74" s="48">
        <f>C73+'Página8'!C74</f>
        <v>2558522.2</v>
      </c>
      <c r="D74" s="48">
        <f>D73+'Página8'!D74</f>
        <v>2343981.36</v>
      </c>
      <c r="E74" s="48">
        <f>E73+'Página8'!E74</f>
        <v>2297662.13</v>
      </c>
      <c r="F74" s="48">
        <f>F73+'Página8'!F74</f>
        <v>1370432.96</v>
      </c>
      <c r="G74" s="48">
        <f>G73+'Página8'!G74</f>
        <v>2079947.78</v>
      </c>
      <c r="H74" s="48">
        <f>H73+'Página8'!H74</f>
        <v>951040.71</v>
      </c>
      <c r="I74" s="48">
        <f>I73+'Página8'!I74</f>
        <v>1948521.79</v>
      </c>
      <c r="J74" s="48">
        <f>J73+'Página8'!J74</f>
        <v>1733936.57</v>
      </c>
      <c r="K74" s="48">
        <f>K73+'Página8'!K74</f>
        <v>1554199.51</v>
      </c>
      <c r="L74" s="48">
        <f>L73+'Página8'!L74</f>
        <v>1545438.8</v>
      </c>
      <c r="M74" s="48">
        <f>M73+'Página8'!M74</f>
        <v>957273</v>
      </c>
      <c r="N74" s="48">
        <f>N73+'Página8'!N74</f>
        <v>1389142.16</v>
      </c>
      <c r="O74" s="48">
        <f>O73+'Página8'!O74</f>
        <v>682828.7</v>
      </c>
    </row>
    <row r="75">
      <c r="A75" s="34">
        <v>44593.0</v>
      </c>
      <c r="B75" s="48">
        <f>B74+'Página8'!B75</f>
        <v>3013668.64</v>
      </c>
      <c r="C75" s="48">
        <f>C74+'Página8'!C75</f>
        <v>2597356.85</v>
      </c>
      <c r="D75" s="48">
        <f>D74+'Página8'!D75</f>
        <v>2374918.27</v>
      </c>
      <c r="E75" s="48">
        <f>E74+'Página8'!E75</f>
        <v>2327665.75</v>
      </c>
      <c r="F75" s="48">
        <f>F74+'Página8'!F75</f>
        <v>1388329.01</v>
      </c>
      <c r="G75" s="48">
        <f>G74+'Página8'!G75</f>
        <v>2107317.45</v>
      </c>
      <c r="H75" s="48">
        <f>H74+'Página8'!H75</f>
        <v>963555.29</v>
      </c>
      <c r="I75" s="48">
        <f>I74+'Página8'!I75</f>
        <v>1973226.55</v>
      </c>
      <c r="J75" s="48">
        <f>J74+'Página8'!J75</f>
        <v>1759960.37</v>
      </c>
      <c r="K75" s="48">
        <f>K74+'Página8'!K75</f>
        <v>1573996.97</v>
      </c>
      <c r="L75" s="48">
        <f>L74+'Página8'!L75</f>
        <v>1565060.11</v>
      </c>
      <c r="M75" s="48">
        <f>M74+'Página8'!M75</f>
        <v>969635.37</v>
      </c>
      <c r="N75" s="48">
        <f>N74+'Página8'!N75</f>
        <v>1406844.76</v>
      </c>
      <c r="O75" s="48">
        <f>O74+'Página8'!O75</f>
        <v>691807.65</v>
      </c>
    </row>
    <row r="76">
      <c r="A76" s="34">
        <v>44621.0</v>
      </c>
      <c r="B76" s="48">
        <f>B75+'Página8'!B76</f>
        <v>3052961.96</v>
      </c>
      <c r="C76" s="48">
        <f>C75+'Página8'!C76</f>
        <v>2636191.5</v>
      </c>
      <c r="D76" s="48">
        <f>D75+'Página8'!D76</f>
        <v>2405855.18</v>
      </c>
      <c r="E76" s="48">
        <f>E75+'Página8'!E76</f>
        <v>2357669.37</v>
      </c>
      <c r="F76" s="48">
        <f>F75+'Página8'!F76</f>
        <v>1406225.06</v>
      </c>
      <c r="G76" s="48">
        <f>G75+'Página8'!G76</f>
        <v>2134687.12</v>
      </c>
      <c r="H76" s="48">
        <f>H75+'Página8'!H76</f>
        <v>976069.87</v>
      </c>
      <c r="I76" s="48">
        <f>I75+'Página8'!I76</f>
        <v>1997931.31</v>
      </c>
      <c r="J76" s="48">
        <f>J75+'Página8'!J76</f>
        <v>1785984.17</v>
      </c>
      <c r="K76" s="48">
        <f>K75+'Página8'!K76</f>
        <v>1593794.43</v>
      </c>
      <c r="L76" s="48">
        <f>L75+'Página8'!L76</f>
        <v>1584681.42</v>
      </c>
      <c r="M76" s="48">
        <f>M75+'Página8'!M76</f>
        <v>981997.74</v>
      </c>
      <c r="N76" s="48">
        <f>N75+'Página8'!N76</f>
        <v>1424547.36</v>
      </c>
      <c r="O76" s="48">
        <f>O75+'Página8'!O76</f>
        <v>700786.6</v>
      </c>
    </row>
    <row r="77">
      <c r="A77" s="34">
        <v>44652.0</v>
      </c>
      <c r="B77" s="48">
        <f>B76+'Página8'!B77</f>
        <v>3092255.28</v>
      </c>
      <c r="C77" s="48">
        <f>C76+'Página8'!C77</f>
        <v>2675026.15</v>
      </c>
      <c r="D77" s="48">
        <f>D76+'Página8'!D77</f>
        <v>2436792.09</v>
      </c>
      <c r="E77" s="48">
        <f>E76+'Página8'!E77</f>
        <v>2387672.99</v>
      </c>
      <c r="F77" s="48">
        <f>F76+'Página8'!F77</f>
        <v>1424121.11</v>
      </c>
      <c r="G77" s="48">
        <f>G76+'Página8'!G77</f>
        <v>2162056.79</v>
      </c>
      <c r="H77" s="48">
        <f>H76+'Página8'!H77</f>
        <v>988584.45</v>
      </c>
      <c r="I77" s="48">
        <f>I76+'Página8'!I77</f>
        <v>2022636.07</v>
      </c>
      <c r="J77" s="48">
        <f>J76+'Página8'!J77</f>
        <v>1812007.97</v>
      </c>
      <c r="K77" s="48">
        <f>K76+'Página8'!K77</f>
        <v>1613591.89</v>
      </c>
      <c r="L77" s="48">
        <f>L76+'Página8'!L77</f>
        <v>1604302.73</v>
      </c>
      <c r="M77" s="48">
        <f>M76+'Página8'!M77</f>
        <v>994360.11</v>
      </c>
      <c r="N77" s="48">
        <f>N76+'Página8'!N77</f>
        <v>1442249.96</v>
      </c>
      <c r="O77" s="48">
        <f>O76+'Página8'!O77</f>
        <v>709765.55</v>
      </c>
    </row>
    <row r="78">
      <c r="A78" s="34">
        <v>44682.0</v>
      </c>
      <c r="B78" s="48">
        <f>B77+'Página8'!B78</f>
        <v>3131548.6</v>
      </c>
      <c r="C78" s="48">
        <f>C77+'Página8'!C78</f>
        <v>2713860.8</v>
      </c>
      <c r="D78" s="48">
        <f>D77+'Página8'!D78</f>
        <v>2467729</v>
      </c>
      <c r="E78" s="48">
        <f>E77+'Página8'!E78</f>
        <v>2417676.61</v>
      </c>
      <c r="F78" s="48">
        <f>F77+'Página8'!F78</f>
        <v>1442017.16</v>
      </c>
      <c r="G78" s="48">
        <f>G77+'Página8'!G78</f>
        <v>2189426.46</v>
      </c>
      <c r="H78" s="48">
        <f>H77+'Página8'!H78</f>
        <v>1001099.03</v>
      </c>
      <c r="I78" s="48">
        <f>I77+'Página8'!I78</f>
        <v>2047340.83</v>
      </c>
      <c r="J78" s="48">
        <f>J77+'Página8'!J78</f>
        <v>1838031.77</v>
      </c>
      <c r="K78" s="48">
        <f>K77+'Página8'!K78</f>
        <v>1633389.35</v>
      </c>
      <c r="L78" s="48">
        <f>L77+'Página8'!L78</f>
        <v>1623924.04</v>
      </c>
      <c r="M78" s="48">
        <f>M77+'Página8'!M78</f>
        <v>1006722.48</v>
      </c>
      <c r="N78" s="48">
        <f>N77+'Página8'!N78</f>
        <v>1459952.56</v>
      </c>
      <c r="O78" s="48">
        <f>O77+'Página8'!O78</f>
        <v>718744.5</v>
      </c>
    </row>
    <row r="79">
      <c r="A79" s="34">
        <v>44713.0</v>
      </c>
      <c r="B79" s="48">
        <f>B78+'Página8'!B79</f>
        <v>3170841.92</v>
      </c>
      <c r="C79" s="48">
        <f>C78+'Página8'!C79</f>
        <v>2752695.45</v>
      </c>
      <c r="D79" s="48">
        <f>D78+'Página8'!D79</f>
        <v>2498665.91</v>
      </c>
      <c r="E79" s="48">
        <f>E78+'Página8'!E79</f>
        <v>2447680.23</v>
      </c>
      <c r="F79" s="48">
        <f>F78+'Página8'!F79</f>
        <v>1459913.21</v>
      </c>
      <c r="G79" s="48">
        <f>G78+'Página8'!G79</f>
        <v>2216796.13</v>
      </c>
      <c r="H79" s="48">
        <f>H78+'Página8'!H79</f>
        <v>1013613.61</v>
      </c>
      <c r="I79" s="48">
        <f>I78+'Página8'!I79</f>
        <v>2072045.59</v>
      </c>
      <c r="J79" s="48">
        <f>J78+'Página8'!J79</f>
        <v>1864055.57</v>
      </c>
      <c r="K79" s="48">
        <f>K78+'Página8'!K79</f>
        <v>1653186.81</v>
      </c>
      <c r="L79" s="48">
        <f>L78+'Página8'!L79</f>
        <v>1643545.35</v>
      </c>
      <c r="M79" s="48">
        <f>M78+'Página8'!M79</f>
        <v>1019084.85</v>
      </c>
      <c r="N79" s="48">
        <f>N78+'Página8'!N79</f>
        <v>1477655.16</v>
      </c>
      <c r="O79" s="48">
        <f>O78+'Página8'!O79</f>
        <v>727723.45</v>
      </c>
    </row>
    <row r="80">
      <c r="A80" s="34">
        <v>44743.0</v>
      </c>
      <c r="B80" s="48">
        <f>B79+'Página8'!B80</f>
        <v>3210135.24</v>
      </c>
      <c r="C80" s="48">
        <f>C79+'Página8'!C80</f>
        <v>2791530.1</v>
      </c>
      <c r="D80" s="48">
        <f>D79+'Página8'!D80</f>
        <v>2529602.82</v>
      </c>
      <c r="E80" s="48">
        <f>E79+'Página8'!E80</f>
        <v>2477683.85</v>
      </c>
      <c r="F80" s="48">
        <f>F79+'Página8'!F80</f>
        <v>1477809.26</v>
      </c>
      <c r="G80" s="48">
        <f>G79+'Página8'!G80</f>
        <v>2244165.8</v>
      </c>
      <c r="H80" s="48">
        <f>H79+'Página8'!H80</f>
        <v>1026128.19</v>
      </c>
      <c r="I80" s="48">
        <f>I79+'Página8'!I80</f>
        <v>2096750.35</v>
      </c>
      <c r="J80" s="48">
        <f>J79+'Página8'!J80</f>
        <v>1890079.37</v>
      </c>
      <c r="K80" s="48">
        <f>K79+'Página8'!K80</f>
        <v>1672984.27</v>
      </c>
      <c r="L80" s="48">
        <f>L79+'Página8'!L80</f>
        <v>1663166.66</v>
      </c>
      <c r="M80" s="48">
        <f>M79+'Página8'!M80</f>
        <v>1031447.22</v>
      </c>
      <c r="N80" s="48">
        <f>N79+'Página8'!N80</f>
        <v>1495357.76</v>
      </c>
      <c r="O80" s="48">
        <f>O79+'Página8'!O80</f>
        <v>736702.4</v>
      </c>
    </row>
    <row r="81">
      <c r="A81" s="34">
        <v>44774.0</v>
      </c>
      <c r="B81" s="48">
        <f>B80+'Página8'!B81</f>
        <v>3249428.56</v>
      </c>
      <c r="C81" s="48">
        <f>C80+'Página8'!C81</f>
        <v>2830364.75</v>
      </c>
      <c r="D81" s="48">
        <f>D80+'Página8'!D81</f>
        <v>2560539.73</v>
      </c>
      <c r="E81" s="48">
        <f>E80+'Página8'!E81</f>
        <v>2507687.47</v>
      </c>
      <c r="F81" s="48">
        <f>F80+'Página8'!F81</f>
        <v>1495705.31</v>
      </c>
      <c r="G81" s="48">
        <f>G80+'Página8'!G81</f>
        <v>2271535.47</v>
      </c>
      <c r="H81" s="48">
        <f>H80+'Página8'!H81</f>
        <v>1038642.77</v>
      </c>
      <c r="I81" s="48">
        <f>I80+'Página8'!I81</f>
        <v>2121455.11</v>
      </c>
      <c r="J81" s="48">
        <f>J80+'Página8'!J81</f>
        <v>1916103.17</v>
      </c>
      <c r="K81" s="48">
        <f>K80+'Página8'!K81</f>
        <v>1692781.73</v>
      </c>
      <c r="L81" s="48">
        <f>L80+'Página8'!L81</f>
        <v>1682787.97</v>
      </c>
      <c r="M81" s="48">
        <f>M80+'Página8'!M81</f>
        <v>1043809.59</v>
      </c>
      <c r="N81" s="48">
        <f>N80+'Página8'!N81</f>
        <v>1513060.36</v>
      </c>
      <c r="O81" s="48">
        <f>O80+'Página8'!O81</f>
        <v>745681.35</v>
      </c>
    </row>
    <row r="82">
      <c r="A82" s="34">
        <v>44805.0</v>
      </c>
      <c r="B82" s="48">
        <f>B81+'Página8'!B82</f>
        <v>3288721.88</v>
      </c>
      <c r="C82" s="48">
        <f>C81+'Página8'!C82</f>
        <v>2869199.4</v>
      </c>
      <c r="D82" s="48">
        <f>D81+'Página8'!D82</f>
        <v>2591476.64</v>
      </c>
      <c r="E82" s="48">
        <f>E81+'Página8'!E82</f>
        <v>2537691.09</v>
      </c>
      <c r="F82" s="48">
        <f>F81+'Página8'!F82</f>
        <v>1513601.36</v>
      </c>
      <c r="G82" s="48">
        <f>G81+'Página8'!G82</f>
        <v>2298905.14</v>
      </c>
      <c r="H82" s="48">
        <f>H81+'Página8'!H82</f>
        <v>1051157.35</v>
      </c>
      <c r="I82" s="48">
        <f>I81+'Página8'!I82</f>
        <v>2146159.87</v>
      </c>
      <c r="J82" s="48">
        <f>J81+'Página8'!J82</f>
        <v>1942126.97</v>
      </c>
      <c r="K82" s="48">
        <f>K81+'Página8'!K82</f>
        <v>1712579.19</v>
      </c>
      <c r="L82" s="48">
        <f>L81+'Página8'!L82</f>
        <v>1702409.28</v>
      </c>
      <c r="M82" s="48">
        <f>M81+'Página8'!M82</f>
        <v>1056171.96</v>
      </c>
      <c r="N82" s="48">
        <f>N81+'Página8'!N82</f>
        <v>1530762.96</v>
      </c>
      <c r="O82" s="48">
        <f>O81+'Página8'!O82</f>
        <v>754660.3</v>
      </c>
    </row>
    <row r="83">
      <c r="A83" s="34">
        <v>44835.0</v>
      </c>
      <c r="B83" s="48">
        <f>B82+'Página8'!B83</f>
        <v>3328015.2</v>
      </c>
      <c r="C83" s="48">
        <f>C82+'Página8'!C83</f>
        <v>2908034.05</v>
      </c>
      <c r="D83" s="48">
        <f>D82+'Página8'!D83</f>
        <v>2622413.55</v>
      </c>
      <c r="E83" s="48">
        <f>E82+'Página8'!E83</f>
        <v>2567694.71</v>
      </c>
      <c r="F83" s="48">
        <f>F82+'Página8'!F83</f>
        <v>1531497.41</v>
      </c>
      <c r="G83" s="48">
        <f>G82+'Página8'!G83</f>
        <v>2326274.81</v>
      </c>
      <c r="H83" s="48">
        <f>H82+'Página8'!H83</f>
        <v>1063671.93</v>
      </c>
      <c r="I83" s="48">
        <f>I82+'Página8'!I83</f>
        <v>2170864.63</v>
      </c>
      <c r="J83" s="48">
        <f>J82+'Página8'!J83</f>
        <v>1968150.77</v>
      </c>
      <c r="K83" s="48">
        <f>K82+'Página8'!K83</f>
        <v>1732376.65</v>
      </c>
      <c r="L83" s="48">
        <f>L82+'Página8'!L83</f>
        <v>1722030.59</v>
      </c>
      <c r="M83" s="48">
        <f>M82+'Página8'!M83</f>
        <v>1068534.33</v>
      </c>
      <c r="N83" s="48">
        <f>N82+'Página8'!N83</f>
        <v>1548465.56</v>
      </c>
      <c r="O83" s="48">
        <f>O82+'Página8'!O83</f>
        <v>763639.25</v>
      </c>
    </row>
    <row r="84">
      <c r="A84" s="34">
        <v>44866.0</v>
      </c>
      <c r="B84" s="48">
        <f>B83+'Página8'!B84</f>
        <v>3367308.52</v>
      </c>
      <c r="C84" s="48">
        <f>C83+'Página8'!C84</f>
        <v>2946868.7</v>
      </c>
      <c r="D84" s="48">
        <f>D83+'Página8'!D84</f>
        <v>2653350.46</v>
      </c>
      <c r="E84" s="48">
        <f>E83+'Página8'!E84</f>
        <v>2597698.33</v>
      </c>
      <c r="F84" s="48">
        <f>F83+'Página8'!F84</f>
        <v>1549393.46</v>
      </c>
      <c r="G84" s="48">
        <f>G83+'Página8'!G84</f>
        <v>2353644.48</v>
      </c>
      <c r="H84" s="48">
        <f>H83+'Página8'!H84</f>
        <v>1076186.51</v>
      </c>
      <c r="I84" s="48">
        <f>I83+'Página8'!I84</f>
        <v>2195569.39</v>
      </c>
      <c r="J84" s="48">
        <f>J83+'Página8'!J84</f>
        <v>1994174.57</v>
      </c>
      <c r="K84" s="48">
        <f>K83+'Página8'!K84</f>
        <v>1752174.11</v>
      </c>
      <c r="L84" s="48">
        <f>L83+'Página8'!L84</f>
        <v>1741651.9</v>
      </c>
      <c r="M84" s="48">
        <f>M83+'Página8'!M84</f>
        <v>1080896.7</v>
      </c>
      <c r="N84" s="48">
        <f>N83+'Página8'!N84</f>
        <v>1566168.16</v>
      </c>
      <c r="O84" s="48">
        <f>O83+'Página8'!O84</f>
        <v>772618.2</v>
      </c>
    </row>
    <row r="85">
      <c r="A85" s="34">
        <v>44896.0</v>
      </c>
      <c r="B85" s="48">
        <f>B84+'Página8'!B85</f>
        <v>3458979.84</v>
      </c>
      <c r="C85" s="48">
        <f>C84+'Página8'!C85</f>
        <v>3037469.94</v>
      </c>
      <c r="D85" s="48">
        <f>D84+'Página8'!D85</f>
        <v>2725526.27</v>
      </c>
      <c r="E85" s="48">
        <f>E84+'Página8'!E85</f>
        <v>2667696.78</v>
      </c>
      <c r="F85" s="48">
        <f>F84+'Página8'!F85</f>
        <v>1591144.94</v>
      </c>
      <c r="G85" s="48">
        <f>G84+'Página8'!G85</f>
        <v>2417497.92</v>
      </c>
      <c r="H85" s="48">
        <f>H84+'Página8'!H85</f>
        <v>1105383.03</v>
      </c>
      <c r="I85" s="48">
        <f>I84+'Página8'!I85</f>
        <v>2253205.61</v>
      </c>
      <c r="J85" s="48">
        <f>J84+'Página8'!J85</f>
        <v>2054888.1</v>
      </c>
      <c r="K85" s="48">
        <f>K84+'Página8'!K85</f>
        <v>1798361.59</v>
      </c>
      <c r="L85" s="48">
        <f>L84+'Página8'!L85</f>
        <v>1787428.42</v>
      </c>
      <c r="M85" s="48">
        <f>M84+'Página8'!M85</f>
        <v>1109738.11</v>
      </c>
      <c r="N85" s="48">
        <f>N84+'Página8'!N85</f>
        <v>1607468.32</v>
      </c>
      <c r="O85" s="48">
        <f>O84+'Página8'!O85</f>
        <v>793566.09</v>
      </c>
    </row>
    <row r="86">
      <c r="A86" s="34">
        <v>44927.0</v>
      </c>
      <c r="B86" s="48">
        <f>B85+'Página8'!B86</f>
        <v>3498273.16</v>
      </c>
      <c r="C86" s="48">
        <f>C85+'Página8'!C86</f>
        <v>3076461.21</v>
      </c>
      <c r="D86" s="48">
        <f>D85+'Página8'!D86</f>
        <v>2756463.18</v>
      </c>
      <c r="E86" s="48">
        <f>E85+'Página8'!E86</f>
        <v>2697700.4</v>
      </c>
      <c r="F86" s="48">
        <f>F85+'Página8'!F86</f>
        <v>1609040.99</v>
      </c>
      <c r="G86" s="48">
        <f>G85+'Página8'!G86</f>
        <v>2444867.59</v>
      </c>
      <c r="H86" s="48">
        <f>H85+'Página8'!H86</f>
        <v>1117897.61</v>
      </c>
      <c r="I86" s="48">
        <f>I85+'Página8'!I86</f>
        <v>2277955.66</v>
      </c>
      <c r="J86" s="48">
        <f>J85+'Página8'!J86</f>
        <v>2081070.74</v>
      </c>
      <c r="K86" s="48">
        <f>K85+'Página8'!K86</f>
        <v>1818204.34</v>
      </c>
      <c r="L86" s="48">
        <f>L85+'Página8'!L86</f>
        <v>1807095.01</v>
      </c>
      <c r="M86" s="48">
        <f>M85+'Página8'!M86</f>
        <v>1122145.77</v>
      </c>
      <c r="N86" s="48">
        <f>N85+'Página8'!N86</f>
        <v>1625216.2</v>
      </c>
      <c r="O86" s="48">
        <f>O85+'Página8'!O86</f>
        <v>802590.32</v>
      </c>
    </row>
    <row r="87">
      <c r="A87" s="34">
        <v>44958.0</v>
      </c>
      <c r="B87" s="48">
        <f>B86+'Página8'!B87</f>
        <v>3537566.48</v>
      </c>
      <c r="C87" s="48">
        <f>C86+'Página8'!C87</f>
        <v>3115454.79</v>
      </c>
      <c r="D87" s="48">
        <f>D86+'Página8'!D87</f>
        <v>2787400.09</v>
      </c>
      <c r="E87" s="48">
        <f>E86+'Página8'!E87</f>
        <v>2727704.02</v>
      </c>
      <c r="F87" s="48">
        <f>F86+'Página8'!F87</f>
        <v>1626937.04</v>
      </c>
      <c r="G87" s="48">
        <f>G86+'Página8'!G87</f>
        <v>2472237.26</v>
      </c>
      <c r="H87" s="48">
        <f>H86+'Página8'!H87</f>
        <v>1130412.19</v>
      </c>
      <c r="I87" s="48">
        <f>I86+'Página8'!I87</f>
        <v>2302705.71</v>
      </c>
      <c r="J87" s="48">
        <f>J86+'Página8'!J87</f>
        <v>2107255.05</v>
      </c>
      <c r="K87" s="48">
        <f>K86+'Página8'!K87</f>
        <v>1838047.09</v>
      </c>
      <c r="L87" s="48">
        <f>L86+'Página8'!L87</f>
        <v>1826761.6</v>
      </c>
      <c r="M87" s="48">
        <f>M86+'Página8'!M87</f>
        <v>1134553.43</v>
      </c>
      <c r="N87" s="48">
        <f>N86+'Página8'!N87</f>
        <v>1642964.08</v>
      </c>
      <c r="O87" s="48">
        <f>O86+'Página8'!O87</f>
        <v>811614.55</v>
      </c>
    </row>
    <row r="88">
      <c r="A88" s="34">
        <v>44986.0</v>
      </c>
      <c r="B88" s="48">
        <f>B87+'Página8'!B88</f>
        <v>3576859.8</v>
      </c>
      <c r="C88" s="48">
        <f>C87+'Página8'!C88</f>
        <v>3154448.37</v>
      </c>
      <c r="D88" s="48">
        <f>D87+'Página8'!D88</f>
        <v>2818337</v>
      </c>
      <c r="E88" s="48">
        <f>E87+'Página8'!E88</f>
        <v>2757707.64</v>
      </c>
      <c r="F88" s="48">
        <f>F87+'Página8'!F88</f>
        <v>1644833.09</v>
      </c>
      <c r="G88" s="48">
        <f>G87+'Página8'!G88</f>
        <v>2499606.93</v>
      </c>
      <c r="H88" s="48">
        <f>H87+'Página8'!H88</f>
        <v>1142926.77</v>
      </c>
      <c r="I88" s="48">
        <f>I87+'Página8'!I88</f>
        <v>2327455.76</v>
      </c>
      <c r="J88" s="48">
        <f>J87+'Página8'!J88</f>
        <v>2133439.36</v>
      </c>
      <c r="K88" s="48">
        <f>K87+'Página8'!K88</f>
        <v>1857889.84</v>
      </c>
      <c r="L88" s="48">
        <f>L87+'Página8'!L88</f>
        <v>1846428.19</v>
      </c>
      <c r="M88" s="48">
        <f>M87+'Página8'!M88</f>
        <v>1146961.09</v>
      </c>
      <c r="N88" s="48">
        <f>N87+'Página8'!N88</f>
        <v>1660711.96</v>
      </c>
      <c r="O88" s="48">
        <f>O87+'Página8'!O88</f>
        <v>820638.78</v>
      </c>
    </row>
    <row r="89">
      <c r="A89" s="34">
        <v>45017.0</v>
      </c>
      <c r="B89" s="48">
        <f>B88+'Página8'!B89</f>
        <v>3618510.72</v>
      </c>
      <c r="C89" s="48">
        <f>C88+'Página8'!C89</f>
        <v>3195498.43</v>
      </c>
      <c r="D89" s="48">
        <f>D88+'Página8'!D89</f>
        <v>2849273.91</v>
      </c>
      <c r="E89" s="48">
        <f>E88+'Página8'!E89</f>
        <v>2787711.26</v>
      </c>
      <c r="F89" s="48">
        <f>F88+'Página8'!F89</f>
        <v>1662729.14</v>
      </c>
      <c r="G89" s="48">
        <f>G88+'Página8'!G89</f>
        <v>2526976.6</v>
      </c>
      <c r="H89" s="48">
        <f>H88+'Página8'!H89</f>
        <v>1155441.35</v>
      </c>
      <c r="I89" s="48">
        <f>I88+'Página8'!I89</f>
        <v>2353590.3</v>
      </c>
      <c r="J89" s="48">
        <f>J88+'Página8'!J89</f>
        <v>2161114.62</v>
      </c>
      <c r="K89" s="48">
        <f>K88+'Página8'!K89</f>
        <v>1877732.59</v>
      </c>
      <c r="L89" s="48">
        <f>L88+'Página8'!L89</f>
        <v>1866094.78</v>
      </c>
      <c r="M89" s="48">
        <f>M88+'Página8'!M89</f>
        <v>1159368.75</v>
      </c>
      <c r="N89" s="48">
        <f>N88+'Página8'!N89</f>
        <v>1678459.84</v>
      </c>
      <c r="O89" s="48">
        <f>O88+'Página8'!O89</f>
        <v>829663.01</v>
      </c>
    </row>
    <row r="90">
      <c r="A90" s="34">
        <v>45047.0</v>
      </c>
      <c r="B90" s="48">
        <f>B89+'Página8'!B90</f>
        <v>3660161.64</v>
      </c>
      <c r="C90" s="48">
        <f>C89+'Página8'!C90</f>
        <v>3236852.11</v>
      </c>
      <c r="D90" s="48">
        <f>D89+'Página8'!D90</f>
        <v>2882995.14</v>
      </c>
      <c r="E90" s="48">
        <f>E89+'Página8'!E90</f>
        <v>2820172.21</v>
      </c>
      <c r="F90" s="48">
        <f>F89+'Página8'!F90</f>
        <v>1682090.03</v>
      </c>
      <c r="G90" s="48">
        <f>G89+'Página8'!G90</f>
        <v>2556809.54</v>
      </c>
      <c r="H90" s="48">
        <f>H89+'Página8'!H90</f>
        <v>1169082.24</v>
      </c>
      <c r="I90" s="48">
        <f>I89+'Página8'!I90</f>
        <v>2379740.64</v>
      </c>
      <c r="J90" s="48">
        <f>J89+'Página8'!J90</f>
        <v>2188687.29</v>
      </c>
      <c r="K90" s="48">
        <f>K89+'Página8'!K90</f>
        <v>1899226.22</v>
      </c>
      <c r="L90" s="48">
        <f>L89+'Página8'!L90</f>
        <v>1887220.24</v>
      </c>
      <c r="M90" s="48">
        <f>M89+'Página8'!M90</f>
        <v>1172652.43</v>
      </c>
      <c r="N90" s="48">
        <f>N89+'Página8'!N90</f>
        <v>1697670.07</v>
      </c>
      <c r="O90" s="48">
        <f>O89+'Página8'!O90</f>
        <v>839364.46</v>
      </c>
    </row>
    <row r="91">
      <c r="A91" s="34">
        <v>45078.0</v>
      </c>
      <c r="B91" s="48">
        <f>B90+'Página8'!B91</f>
        <v>3701812.56</v>
      </c>
      <c r="C91" s="48">
        <f>C90+'Página8'!C91</f>
        <v>3278205.79</v>
      </c>
      <c r="D91" s="48">
        <f>D90+'Página8'!D91</f>
        <v>2916716.37</v>
      </c>
      <c r="E91" s="48">
        <f>E90+'Página8'!E91</f>
        <v>2852633.16</v>
      </c>
      <c r="F91" s="48">
        <f>F90+'Página8'!F91</f>
        <v>1701450.92</v>
      </c>
      <c r="G91" s="48">
        <f>G90+'Página8'!G91</f>
        <v>2586642.48</v>
      </c>
      <c r="H91" s="48">
        <f>H90+'Página8'!H91</f>
        <v>1182723.13</v>
      </c>
      <c r="I91" s="48">
        <f>I90+'Página8'!I91</f>
        <v>2405890.98</v>
      </c>
      <c r="J91" s="48">
        <f>J90+'Página8'!J91</f>
        <v>2216259.96</v>
      </c>
      <c r="K91" s="48">
        <f>K90+'Página8'!K91</f>
        <v>1920719.85</v>
      </c>
      <c r="L91" s="48">
        <f>L90+'Página8'!L91</f>
        <v>1908345.7</v>
      </c>
      <c r="M91" s="48">
        <f>M90+'Página8'!M91</f>
        <v>1185936.11</v>
      </c>
      <c r="N91" s="48">
        <f>N90+'Página8'!N91</f>
        <v>1716880.3</v>
      </c>
      <c r="O91" s="48">
        <f>O90+'Página8'!O91</f>
        <v>849065.91</v>
      </c>
    </row>
    <row r="92">
      <c r="A92" s="34">
        <v>45108.0</v>
      </c>
      <c r="B92" s="48">
        <f>B91+'Página8'!B92</f>
        <v>3743463.48</v>
      </c>
      <c r="C92" s="48">
        <f>C91+'Página8'!C92</f>
        <v>3319559.47</v>
      </c>
      <c r="D92" s="48">
        <f>D91+'Página8'!D92</f>
        <v>2950437.6</v>
      </c>
      <c r="E92" s="48">
        <f>E91+'Página8'!E92</f>
        <v>2885094.11</v>
      </c>
      <c r="F92" s="48">
        <f>F91+'Página8'!F92</f>
        <v>1720811.81</v>
      </c>
      <c r="G92" s="48">
        <f>G91+'Página8'!G92</f>
        <v>2616475.42</v>
      </c>
      <c r="H92" s="48">
        <f>H91+'Página8'!H92</f>
        <v>1196364.02</v>
      </c>
      <c r="I92" s="48">
        <f>I91+'Página8'!I92</f>
        <v>2432041.32</v>
      </c>
      <c r="J92" s="48">
        <f>J91+'Página8'!J92</f>
        <v>2243832.63</v>
      </c>
      <c r="K92" s="48">
        <f>K91+'Página8'!K92</f>
        <v>1942213.48</v>
      </c>
      <c r="L92" s="48">
        <f>L91+'Página8'!L92</f>
        <v>1929471.16</v>
      </c>
      <c r="M92" s="48">
        <f>M91+'Página8'!M92</f>
        <v>1199219.79</v>
      </c>
      <c r="N92" s="48">
        <f>N91+'Página8'!N92</f>
        <v>1736090.53</v>
      </c>
      <c r="O92" s="48">
        <f>O91+'Página8'!O92</f>
        <v>858767.36</v>
      </c>
    </row>
    <row r="93">
      <c r="A93" s="34">
        <v>45139.0</v>
      </c>
      <c r="B93" s="48">
        <f>B92+'Página8'!B93</f>
        <v>3785114.4</v>
      </c>
      <c r="C93" s="48">
        <f>C92+'Página8'!C93</f>
        <v>3360913.15</v>
      </c>
      <c r="D93" s="48">
        <f>D92+'Página8'!D93</f>
        <v>2984158.83</v>
      </c>
      <c r="E93" s="48">
        <f>E92+'Página8'!E93</f>
        <v>2917555.06</v>
      </c>
      <c r="F93" s="48">
        <f>F92+'Página8'!F93</f>
        <v>1740172.7</v>
      </c>
      <c r="G93" s="48">
        <f>G92+'Página8'!G93</f>
        <v>2646308.36</v>
      </c>
      <c r="H93" s="48">
        <f>H92+'Página8'!H93</f>
        <v>1210004.91</v>
      </c>
      <c r="I93" s="48">
        <f>I92+'Página8'!I93</f>
        <v>2458191.66</v>
      </c>
      <c r="J93" s="48">
        <f>J92+'Página8'!J93</f>
        <v>2271405.3</v>
      </c>
      <c r="K93" s="48">
        <f>K92+'Página8'!K93</f>
        <v>1963707.11</v>
      </c>
      <c r="L93" s="48">
        <f>L92+'Página8'!L93</f>
        <v>1950596.62</v>
      </c>
      <c r="M93" s="48">
        <f>M92+'Página8'!M93</f>
        <v>1212503.47</v>
      </c>
      <c r="N93" s="48">
        <f>N92+'Página8'!N93</f>
        <v>1755300.76</v>
      </c>
      <c r="O93" s="48">
        <f>O92+'Página8'!O93</f>
        <v>868468.81</v>
      </c>
    </row>
    <row r="94">
      <c r="A94" s="34">
        <v>45170.0</v>
      </c>
      <c r="B94" s="48">
        <f>B93+'Página8'!B94</f>
        <v>3826765.32</v>
      </c>
      <c r="C94" s="48">
        <f>C93+'Página8'!C94</f>
        <v>3402266.83</v>
      </c>
      <c r="D94" s="48">
        <f>D93+'Página8'!D94</f>
        <v>3017880.06</v>
      </c>
      <c r="E94" s="48">
        <f>E93+'Página8'!E94</f>
        <v>2950016.01</v>
      </c>
      <c r="F94" s="48">
        <f>F93+'Página8'!F94</f>
        <v>1759533.59</v>
      </c>
      <c r="G94" s="48">
        <f>G93+'Página8'!G94</f>
        <v>2676141.3</v>
      </c>
      <c r="H94" s="48">
        <f>H93+'Página8'!H94</f>
        <v>1223645.8</v>
      </c>
      <c r="I94" s="48">
        <f>I93+'Página8'!I94</f>
        <v>2484342</v>
      </c>
      <c r="J94" s="48">
        <f>J93+'Página8'!J94</f>
        <v>2298977.97</v>
      </c>
      <c r="K94" s="48">
        <f>K93+'Página8'!K94</f>
        <v>1985200.74</v>
      </c>
      <c r="L94" s="48">
        <f>L93+'Página8'!L94</f>
        <v>1971722.08</v>
      </c>
      <c r="M94" s="48">
        <f>M93+'Página8'!M94</f>
        <v>1225787.15</v>
      </c>
      <c r="N94" s="48">
        <f>N93+'Página8'!N94</f>
        <v>1774510.99</v>
      </c>
      <c r="O94" s="48">
        <f>O93+'Página8'!O94</f>
        <v>878170.26</v>
      </c>
    </row>
    <row r="95">
      <c r="A95" s="34">
        <v>45200.0</v>
      </c>
      <c r="B95" s="48">
        <f>B94+'Página8'!B95</f>
        <v>3868416.24</v>
      </c>
      <c r="C95" s="48">
        <f>C94+'Página8'!C95</f>
        <v>3443620.51</v>
      </c>
      <c r="D95" s="48">
        <f>D94+'Página8'!D95</f>
        <v>3051601.29</v>
      </c>
      <c r="E95" s="48">
        <f>E94+'Página8'!E95</f>
        <v>2982476.96</v>
      </c>
      <c r="F95" s="48">
        <f>F94+'Página8'!F95</f>
        <v>1778894.48</v>
      </c>
      <c r="G95" s="48">
        <f>G94+'Página8'!G95</f>
        <v>2705974.24</v>
      </c>
      <c r="H95" s="48">
        <f>H94+'Página8'!H95</f>
        <v>1237286.69</v>
      </c>
      <c r="I95" s="48">
        <f>I94+'Página8'!I95</f>
        <v>2510492.34</v>
      </c>
      <c r="J95" s="48">
        <f>J94+'Página8'!J95</f>
        <v>2326550.64</v>
      </c>
      <c r="K95" s="48">
        <f>K94+'Página8'!K95</f>
        <v>2006694.37</v>
      </c>
      <c r="L95" s="48">
        <f>L94+'Página8'!L95</f>
        <v>1992847.54</v>
      </c>
      <c r="M95" s="48">
        <f>M94+'Página8'!M95</f>
        <v>1239070.83</v>
      </c>
      <c r="N95" s="48">
        <f>N94+'Página8'!N95</f>
        <v>1793721.22</v>
      </c>
      <c r="O95" s="48">
        <f>O94+'Página8'!O95</f>
        <v>887871.71</v>
      </c>
    </row>
    <row r="96">
      <c r="A96" s="34">
        <v>45231.0</v>
      </c>
      <c r="B96" s="48">
        <f>B95+'Página8'!B96</f>
        <v>3910067.16</v>
      </c>
      <c r="C96" s="48">
        <f>C95+'Página8'!C96</f>
        <v>3484974.19</v>
      </c>
      <c r="D96" s="48">
        <f>D95+'Página8'!D96</f>
        <v>3085322.52</v>
      </c>
      <c r="E96" s="48">
        <f>E95+'Página8'!E96</f>
        <v>3014937.91</v>
      </c>
      <c r="F96" s="48">
        <f>F95+'Página8'!F96</f>
        <v>1798255.37</v>
      </c>
      <c r="G96" s="48">
        <f>G95+'Página8'!G96</f>
        <v>2735807.18</v>
      </c>
      <c r="H96" s="48">
        <f>H95+'Página8'!H96</f>
        <v>1250927.58</v>
      </c>
      <c r="I96" s="48">
        <f>I95+'Página8'!I96</f>
        <v>2536642.68</v>
      </c>
      <c r="J96" s="48">
        <f>J95+'Página8'!J96</f>
        <v>2354123.31</v>
      </c>
      <c r="K96" s="48">
        <f>K95+'Página8'!K96</f>
        <v>2028188</v>
      </c>
      <c r="L96" s="48">
        <f>L95+'Página8'!L96</f>
        <v>2013973</v>
      </c>
      <c r="M96" s="48">
        <f>M95+'Página8'!M96</f>
        <v>1252354.51</v>
      </c>
      <c r="N96" s="48">
        <f>N95+'Página8'!N96</f>
        <v>1812931.45</v>
      </c>
      <c r="O96" s="48">
        <f>O95+'Página8'!O96</f>
        <v>897573.16</v>
      </c>
    </row>
    <row r="97">
      <c r="A97" s="34">
        <v>45261.0</v>
      </c>
      <c r="B97" s="48">
        <f>B96+'Página8'!B97</f>
        <v>4007238.76</v>
      </c>
      <c r="C97" s="48">
        <f>C96+'Página8'!C97</f>
        <v>3581452.33</v>
      </c>
      <c r="D97" s="48">
        <f>D96+'Página8'!D97</f>
        <v>3163994.15</v>
      </c>
      <c r="E97" s="48">
        <f>E96+'Página8'!E97</f>
        <v>3090669.31</v>
      </c>
      <c r="F97" s="48">
        <f>F96+'Página8'!F97</f>
        <v>1843424.33</v>
      </c>
      <c r="G97" s="48">
        <f>G96+'Página8'!G97</f>
        <v>2805407.43</v>
      </c>
      <c r="H97" s="48">
        <f>H96+'Página8'!H97</f>
        <v>1282751.78</v>
      </c>
      <c r="I97" s="48">
        <f>I96+'Página8'!I97</f>
        <v>2597651.42</v>
      </c>
      <c r="J97" s="48">
        <f>J96+'Página8'!J97</f>
        <v>2418450.36</v>
      </c>
      <c r="K97" s="48">
        <f>K96+'Página8'!K97</f>
        <v>2078332.64</v>
      </c>
      <c r="L97" s="48">
        <f>L96+'Página8'!L97</f>
        <v>2063258.7</v>
      </c>
      <c r="M97" s="48">
        <f>M96+'Página8'!M97</f>
        <v>1283345.33</v>
      </c>
      <c r="N97" s="48">
        <f>N96+'Página8'!N97</f>
        <v>1857748.93</v>
      </c>
      <c r="O97" s="48">
        <f>O96+'Página8'!O97</f>
        <v>920206.65</v>
      </c>
    </row>
    <row r="98">
      <c r="A98" s="34">
        <v>45292.0</v>
      </c>
      <c r="B98" s="48">
        <f>B97+'Página8'!B98</f>
        <v>4048889.68</v>
      </c>
      <c r="C98" s="48">
        <f>C97+'Página8'!C98</f>
        <v>3622806.01</v>
      </c>
      <c r="D98" s="48">
        <f>D97+'Página8'!D98</f>
        <v>3197715.38</v>
      </c>
      <c r="E98" s="48">
        <f>E97+'Página8'!E98</f>
        <v>3123130.26</v>
      </c>
      <c r="F98" s="48">
        <f>F97+'Página8'!F98</f>
        <v>1862785.22</v>
      </c>
      <c r="G98" s="48">
        <f>G97+'Página8'!G98</f>
        <v>2835240.37</v>
      </c>
      <c r="H98" s="48">
        <f>H97+'Página8'!H98</f>
        <v>1296392.67</v>
      </c>
      <c r="I98" s="48">
        <f>I97+'Página8'!I98</f>
        <v>2623832.15</v>
      </c>
      <c r="J98" s="48">
        <f>J97+'Página8'!J98</f>
        <v>2446053.42</v>
      </c>
      <c r="K98" s="48">
        <f>K97+'Página8'!K98</f>
        <v>2099856.66</v>
      </c>
      <c r="L98" s="48">
        <f>L97+'Página8'!L98</f>
        <v>2084414.55</v>
      </c>
      <c r="M98" s="48">
        <f>M97+'Página8'!M98</f>
        <v>1296659.4</v>
      </c>
      <c r="N98" s="48">
        <f>N97+'Página8'!N98</f>
        <v>1876989.56</v>
      </c>
      <c r="O98" s="48">
        <f>O97+'Página8'!O98</f>
        <v>929938.5</v>
      </c>
    </row>
    <row r="99">
      <c r="A99" s="34">
        <v>45323.0</v>
      </c>
      <c r="B99" s="48">
        <f>B98+'Página8'!B99</f>
        <v>4092898.2</v>
      </c>
      <c r="C99" s="48">
        <f>C98+'Página8'!C99</f>
        <v>3666458.35</v>
      </c>
      <c r="D99" s="48">
        <f>D98+'Página8'!D99</f>
        <v>3231436.61</v>
      </c>
      <c r="E99" s="48">
        <f>E98+'Página8'!E99</f>
        <v>3156941.21</v>
      </c>
      <c r="F99" s="48">
        <f>F98+'Página8'!F99</f>
        <v>1882956.11</v>
      </c>
      <c r="G99" s="48">
        <f>G98+'Página8'!G99</f>
        <v>2865073.31</v>
      </c>
      <c r="H99" s="48">
        <f>H98+'Página8'!H99</f>
        <v>1310033.56</v>
      </c>
      <c r="I99" s="48">
        <f>I98+'Página8'!I99</f>
        <v>2651408.43</v>
      </c>
      <c r="J99" s="48">
        <f>J98+'Página8'!J99</f>
        <v>2475334.05</v>
      </c>
      <c r="K99" s="48">
        <f>K98+'Página8'!K99</f>
        <v>2121391.72</v>
      </c>
      <c r="L99" s="48">
        <f>L98+'Página8'!L99</f>
        <v>2106560.19</v>
      </c>
      <c r="M99" s="48">
        <f>M98+'Página8'!M99</f>
        <v>1310571.76</v>
      </c>
      <c r="N99" s="48">
        <f>N98+'Página8'!N99</f>
        <v>1896241.23</v>
      </c>
      <c r="O99" s="48">
        <f>O98+'Página8'!O99</f>
        <v>939681.39</v>
      </c>
    </row>
    <row r="100">
      <c r="A100" s="34">
        <v>45352.0</v>
      </c>
      <c r="B100" s="48">
        <f>B99+'Página8'!B100</f>
        <v>4136906.72</v>
      </c>
      <c r="C100" s="48">
        <f>C99+'Página8'!C100</f>
        <v>3710110.69</v>
      </c>
      <c r="D100" s="48">
        <f>D99+'Página8'!D100</f>
        <v>3265157.84</v>
      </c>
      <c r="E100" s="48">
        <f>E99+'Página8'!E100</f>
        <v>3190752.16</v>
      </c>
      <c r="F100" s="48">
        <f>F99+'Página8'!F100</f>
        <v>1903127</v>
      </c>
      <c r="G100" s="48">
        <f>G99+'Página8'!G100</f>
        <v>2894906.25</v>
      </c>
      <c r="H100" s="48">
        <f>H99+'Página8'!H100</f>
        <v>1323674.45</v>
      </c>
      <c r="I100" s="48">
        <f>I99+'Página8'!I100</f>
        <v>2678984.71</v>
      </c>
      <c r="J100" s="48">
        <f>J99+'Página8'!J100</f>
        <v>2504614.68</v>
      </c>
      <c r="K100" s="48">
        <f>K99+'Página8'!K100</f>
        <v>2142926.78</v>
      </c>
      <c r="L100" s="48">
        <f>L99+'Página8'!L100</f>
        <v>2128705.83</v>
      </c>
      <c r="M100" s="48">
        <f>M99+'Página8'!M100</f>
        <v>1324484.12</v>
      </c>
      <c r="N100" s="48">
        <f>N99+'Página8'!N100</f>
        <v>1915492.9</v>
      </c>
      <c r="O100" s="48">
        <f>O99+'Página8'!O100</f>
        <v>949424.28</v>
      </c>
    </row>
    <row r="101">
      <c r="A101" s="34">
        <v>45383.0</v>
      </c>
      <c r="B101" s="48">
        <f>B100+'Página8'!B101</f>
        <v>4180915.24</v>
      </c>
      <c r="C101" s="48">
        <f>C100+'Página8'!C101</f>
        <v>3753763.03</v>
      </c>
      <c r="D101" s="48">
        <f>D100+'Página8'!D101</f>
        <v>3298879.07</v>
      </c>
      <c r="E101" s="48">
        <f>E100+'Página8'!E101</f>
        <v>3224563.11</v>
      </c>
      <c r="F101" s="48">
        <f>F100+'Página8'!F101</f>
        <v>1923297.89</v>
      </c>
      <c r="G101" s="48">
        <f>G100+'Página8'!G101</f>
        <v>2924739.19</v>
      </c>
      <c r="H101" s="48">
        <f>H100+'Página8'!H101</f>
        <v>1337315.34</v>
      </c>
      <c r="I101" s="48">
        <f>I100+'Página8'!I101</f>
        <v>2706560.99</v>
      </c>
      <c r="J101" s="48">
        <f>J100+'Página8'!J101</f>
        <v>2533895.31</v>
      </c>
      <c r="K101" s="48">
        <f>K100+'Página8'!K101</f>
        <v>2164461.84</v>
      </c>
      <c r="L101" s="48">
        <f>L100+'Página8'!L101</f>
        <v>2150851.47</v>
      </c>
      <c r="M101" s="48">
        <f>M100+'Página8'!M101</f>
        <v>1338396.48</v>
      </c>
      <c r="N101" s="48">
        <f>N100+'Página8'!N101</f>
        <v>1934744.57</v>
      </c>
      <c r="O101" s="48">
        <f>O100+'Página8'!O101</f>
        <v>959167.17</v>
      </c>
    </row>
    <row r="102">
      <c r="A102" s="34">
        <v>45413.0</v>
      </c>
      <c r="B102" s="48">
        <f>B101+'Página8'!B102</f>
        <v>4224923.76</v>
      </c>
      <c r="C102" s="48">
        <f>C101+'Página8'!C102</f>
        <v>3797415.37</v>
      </c>
      <c r="D102" s="48">
        <f>D101+'Página8'!D102</f>
        <v>3332600.3</v>
      </c>
      <c r="E102" s="48">
        <f>E101+'Página8'!E102</f>
        <v>3258374.06</v>
      </c>
      <c r="F102" s="48">
        <f>F101+'Página8'!F102</f>
        <v>1943468.78</v>
      </c>
      <c r="G102" s="48">
        <f>G101+'Página8'!G102</f>
        <v>2954572.13</v>
      </c>
      <c r="H102" s="48">
        <f>H101+'Página8'!H102</f>
        <v>1350956.23</v>
      </c>
      <c r="I102" s="48">
        <f>I101+'Página8'!I102</f>
        <v>2734137.27</v>
      </c>
      <c r="J102" s="48">
        <f>J101+'Página8'!J102</f>
        <v>2563175.94</v>
      </c>
      <c r="K102" s="48">
        <f>K101+'Página8'!K102</f>
        <v>2185996.9</v>
      </c>
      <c r="L102" s="48">
        <f>L101+'Página8'!L102</f>
        <v>2172997.11</v>
      </c>
      <c r="M102" s="48">
        <f>M101+'Página8'!M102</f>
        <v>1352308.84</v>
      </c>
      <c r="N102" s="48">
        <f>N101+'Página8'!N102</f>
        <v>1953996.24</v>
      </c>
      <c r="O102" s="48">
        <f>O101+'Página8'!O102</f>
        <v>968910.06</v>
      </c>
    </row>
    <row r="103">
      <c r="A103" s="34">
        <v>45444.0</v>
      </c>
      <c r="B103" s="48">
        <f>B102+'Página8'!B103</f>
        <v>4268932.28</v>
      </c>
      <c r="C103" s="48">
        <f>C102+'Página8'!C103</f>
        <v>3841067.71</v>
      </c>
      <c r="D103" s="48">
        <f>D102+'Página8'!D103</f>
        <v>3366321.53</v>
      </c>
      <c r="E103" s="48">
        <f>E102+'Página8'!E103</f>
        <v>3292185.01</v>
      </c>
      <c r="F103" s="48">
        <f>F102+'Página8'!F103</f>
        <v>1963639.67</v>
      </c>
      <c r="G103" s="48">
        <f>G102+'Página8'!G103</f>
        <v>2984405.07</v>
      </c>
      <c r="H103" s="48">
        <f>H102+'Página8'!H103</f>
        <v>1364597.12</v>
      </c>
      <c r="I103" s="48">
        <f>I102+'Página8'!I103</f>
        <v>2761713.55</v>
      </c>
      <c r="J103" s="48">
        <f>J102+'Página8'!J103</f>
        <v>2592456.57</v>
      </c>
      <c r="K103" s="48">
        <f>K102+'Página8'!K103</f>
        <v>2207531.96</v>
      </c>
      <c r="L103" s="48">
        <f>L102+'Página8'!L103</f>
        <v>2195142.75</v>
      </c>
      <c r="M103" s="48">
        <f>M102+'Página8'!M103</f>
        <v>1366221.2</v>
      </c>
      <c r="N103" s="48">
        <f>N102+'Página8'!N103</f>
        <v>1973247.91</v>
      </c>
      <c r="O103" s="48">
        <f>O102+'Página8'!O103</f>
        <v>978652.95</v>
      </c>
    </row>
    <row r="104">
      <c r="A104" s="34">
        <v>45474.0</v>
      </c>
      <c r="B104" s="48">
        <f>B103+'Página8'!B104</f>
        <v>4312940.8</v>
      </c>
      <c r="C104" s="48">
        <f>C103+'Página8'!C104</f>
        <v>3884720.05</v>
      </c>
      <c r="D104" s="48">
        <f>D103+'Página8'!D104</f>
        <v>3400042.76</v>
      </c>
      <c r="E104" s="48">
        <f>E103+'Página8'!E104</f>
        <v>3325995.96</v>
      </c>
      <c r="F104" s="48">
        <f>F103+'Página8'!F104</f>
        <v>1983810.56</v>
      </c>
      <c r="G104" s="48">
        <f>G103+'Página8'!G104</f>
        <v>3014238.01</v>
      </c>
      <c r="H104" s="48">
        <f>H103+'Página8'!H104</f>
        <v>1378238.01</v>
      </c>
      <c r="I104" s="48">
        <f>I103+'Página8'!I104</f>
        <v>2789289.83</v>
      </c>
      <c r="J104" s="48">
        <f>J103+'Página8'!J104</f>
        <v>2621737.2</v>
      </c>
      <c r="K104" s="48">
        <f>K103+'Página8'!K104</f>
        <v>2229067.02</v>
      </c>
      <c r="L104" s="48">
        <f>L103+'Página8'!L104</f>
        <v>2217288.39</v>
      </c>
      <c r="M104" s="48">
        <f>M103+'Página8'!M104</f>
        <v>1380133.56</v>
      </c>
      <c r="N104" s="48">
        <f>N103+'Página8'!N104</f>
        <v>1992499.58</v>
      </c>
      <c r="O104" s="48">
        <f>O103+'Página8'!O104</f>
        <v>988395.84</v>
      </c>
    </row>
    <row r="105">
      <c r="A105" s="34">
        <v>45505.0</v>
      </c>
      <c r="B105" s="48">
        <f>B104+'Página8'!B105</f>
        <v>4356949.32</v>
      </c>
      <c r="C105" s="48">
        <f>C104+'Página8'!C105</f>
        <v>3928372.39</v>
      </c>
      <c r="D105" s="48">
        <f>D104+'Página8'!D105</f>
        <v>3434775.63</v>
      </c>
      <c r="E105" s="48">
        <f>E104+'Página8'!E105</f>
        <v>3360256.91</v>
      </c>
      <c r="F105" s="48">
        <f>F104+'Página8'!F105</f>
        <v>2004251.45</v>
      </c>
      <c r="G105" s="48">
        <f>G104+'Página8'!G105</f>
        <v>3044070.95</v>
      </c>
      <c r="H105" s="48">
        <f>H104+'Página8'!H105</f>
        <v>1391878.9</v>
      </c>
      <c r="I105" s="48">
        <f>I104+'Página8'!I105</f>
        <v>2816866.11</v>
      </c>
      <c r="J105" s="48">
        <f>J104+'Página8'!J105</f>
        <v>2651017.83</v>
      </c>
      <c r="K105" s="48">
        <f>K104+'Página8'!K105</f>
        <v>2251196.17</v>
      </c>
      <c r="L105" s="48">
        <f>L104+'Página8'!L105</f>
        <v>2239760.28</v>
      </c>
      <c r="M105" s="48">
        <f>M104+'Página8'!M105</f>
        <v>1394241.67</v>
      </c>
      <c r="N105" s="48">
        <f>N104+'Página8'!N105</f>
        <v>2011751.25</v>
      </c>
      <c r="O105" s="48">
        <f>O104+'Página8'!O105</f>
        <v>998138.73</v>
      </c>
    </row>
    <row r="106">
      <c r="A106" s="34">
        <v>45536.0</v>
      </c>
      <c r="B106" s="48">
        <f>B105+'Página8'!B106</f>
        <v>4400957.84</v>
      </c>
      <c r="C106" s="48">
        <f>C105+'Página8'!C106</f>
        <v>3972024.73</v>
      </c>
      <c r="D106" s="48">
        <f>D105+'Página8'!D106</f>
        <v>3469508.5</v>
      </c>
      <c r="E106" s="48">
        <f>E105+'Página8'!E106</f>
        <v>3394517.86</v>
      </c>
      <c r="F106" s="48">
        <f>F105+'Página8'!F106</f>
        <v>2024692.34</v>
      </c>
      <c r="G106" s="48">
        <f>G105+'Página8'!G106</f>
        <v>3073903.89</v>
      </c>
      <c r="H106" s="48">
        <f>H105+'Página8'!H106</f>
        <v>1405519.79</v>
      </c>
      <c r="I106" s="48">
        <f>I105+'Página8'!I106</f>
        <v>2844442.39</v>
      </c>
      <c r="J106" s="48">
        <f>J105+'Página8'!J106</f>
        <v>2680298.46</v>
      </c>
      <c r="K106" s="48">
        <f>K105+'Página8'!K106</f>
        <v>2273325.32</v>
      </c>
      <c r="L106" s="48">
        <f>L105+'Página8'!L106</f>
        <v>2262232.17</v>
      </c>
      <c r="M106" s="48">
        <f>M105+'Página8'!M106</f>
        <v>1408349.78</v>
      </c>
      <c r="N106" s="48">
        <f>N105+'Página8'!N106</f>
        <v>2031002.92</v>
      </c>
      <c r="O106" s="48">
        <f>O105+'Página8'!O106</f>
        <v>1007881.62</v>
      </c>
    </row>
    <row r="107">
      <c r="A107" s="34">
        <v>45566.0</v>
      </c>
      <c r="B107" s="48">
        <f>B106+'Página8'!B107</f>
        <v>4444966.36</v>
      </c>
      <c r="C107" s="48">
        <f>C106+'Página8'!C107</f>
        <v>4015677.07</v>
      </c>
      <c r="D107" s="48">
        <f>D106+'Página8'!D107</f>
        <v>3504241.37</v>
      </c>
      <c r="E107" s="48">
        <f>E106+'Página8'!E107</f>
        <v>3428778.81</v>
      </c>
      <c r="F107" s="48">
        <f>F106+'Página8'!F107</f>
        <v>2045133.23</v>
      </c>
      <c r="G107" s="48">
        <f>G106+'Página8'!G107</f>
        <v>3103736.83</v>
      </c>
      <c r="H107" s="48">
        <f>H106+'Página8'!H107</f>
        <v>1419160.68</v>
      </c>
      <c r="I107" s="48">
        <f>I106+'Página8'!I107</f>
        <v>2872018.67</v>
      </c>
      <c r="J107" s="48">
        <f>J106+'Página8'!J107</f>
        <v>2709579.09</v>
      </c>
      <c r="K107" s="48">
        <f>K106+'Página8'!K107</f>
        <v>2295454.47</v>
      </c>
      <c r="L107" s="48">
        <f>L106+'Página8'!L107</f>
        <v>2284704.06</v>
      </c>
      <c r="M107" s="48">
        <f>M106+'Página8'!M107</f>
        <v>1422457.89</v>
      </c>
      <c r="N107" s="48">
        <f>N106+'Página8'!N107</f>
        <v>2050254.59</v>
      </c>
      <c r="O107" s="48">
        <f>O106+'Página8'!O107</f>
        <v>1017624.51</v>
      </c>
    </row>
    <row r="108">
      <c r="A108" s="34">
        <v>45597.0</v>
      </c>
      <c r="B108" s="48">
        <f>B107+'Página8'!B108</f>
        <v>4488974.88</v>
      </c>
      <c r="C108" s="48">
        <f>C107+'Página8'!C108</f>
        <v>4059329.41</v>
      </c>
      <c r="D108" s="48">
        <f>D107+'Página8'!D108</f>
        <v>3538974.24</v>
      </c>
      <c r="E108" s="48">
        <f>E107+'Página8'!E108</f>
        <v>3463039.76</v>
      </c>
      <c r="F108" s="48">
        <f>F107+'Página8'!F108</f>
        <v>2065574.12</v>
      </c>
      <c r="G108" s="48">
        <f>G107+'Página8'!G108</f>
        <v>3133569.77</v>
      </c>
      <c r="H108" s="48">
        <f>H107+'Página8'!H108</f>
        <v>1432801.57</v>
      </c>
      <c r="I108" s="48">
        <f>I107+'Página8'!I108</f>
        <v>2899594.95</v>
      </c>
      <c r="J108" s="48">
        <f>J107+'Página8'!J108</f>
        <v>2738859.72</v>
      </c>
      <c r="K108" s="48">
        <f>K107+'Página8'!K108</f>
        <v>2317583.62</v>
      </c>
      <c r="L108" s="48">
        <f>L107+'Página8'!L108</f>
        <v>2307175.95</v>
      </c>
      <c r="M108" s="48">
        <f>M107+'Página8'!M108</f>
        <v>1436566</v>
      </c>
      <c r="N108" s="48">
        <f>N107+'Página8'!N108</f>
        <v>2069506.26</v>
      </c>
      <c r="O108" s="48">
        <f>O107+'Página8'!O108</f>
        <v>1027367.4</v>
      </c>
    </row>
    <row r="109">
      <c r="A109" s="34">
        <v>45627.0</v>
      </c>
      <c r="B109" s="48">
        <f>B108+'Página8'!B109</f>
        <v>4591646.76</v>
      </c>
      <c r="C109" s="48">
        <f>C108+'Página8'!C109</f>
        <v>4161170.32</v>
      </c>
      <c r="D109" s="48">
        <f>D108+'Página8'!D109</f>
        <v>3620006.03</v>
      </c>
      <c r="E109" s="48">
        <f>E108+'Página8'!E109</f>
        <v>3542970.56</v>
      </c>
      <c r="F109" s="48">
        <f>F108+'Página8'!F109</f>
        <v>2113262.72</v>
      </c>
      <c r="G109" s="48">
        <f>G108+'Página8'!G109</f>
        <v>3203170.02</v>
      </c>
      <c r="H109" s="48">
        <f>H108+'Página8'!H109</f>
        <v>1464625.77</v>
      </c>
      <c r="I109" s="48">
        <f>I108+'Página8'!I109</f>
        <v>2963930.4</v>
      </c>
      <c r="J109" s="48">
        <f>J108+'Página8'!J109</f>
        <v>2807171.44</v>
      </c>
      <c r="K109" s="48">
        <f>K108+'Página8'!K109</f>
        <v>2369210.92</v>
      </c>
      <c r="L109" s="48">
        <f>L108+'Página8'!L109</f>
        <v>2359602.87</v>
      </c>
      <c r="M109" s="48">
        <f>M108+'Página8'!M109</f>
        <v>1469480.22</v>
      </c>
      <c r="N109" s="48">
        <f>N108+'Página8'!N109</f>
        <v>2114420.4</v>
      </c>
      <c r="O109" s="48">
        <f>O108+'Página8'!O109</f>
        <v>1050097.55</v>
      </c>
    </row>
    <row r="110">
      <c r="A110" s="34">
        <v>45658.0</v>
      </c>
      <c r="B110" s="48">
        <f>B109+'Página8'!B110</f>
        <v>4635655.28</v>
      </c>
      <c r="C110" s="48">
        <f>C109+'Página8'!C110</f>
        <v>4204822.66</v>
      </c>
      <c r="D110" s="48">
        <f>D109+'Página8'!D110</f>
        <v>3654738.9</v>
      </c>
      <c r="E110" s="48">
        <f>E109+'Página8'!E110</f>
        <v>3577231.51</v>
      </c>
      <c r="F110" s="48">
        <f>F109+'Página8'!F110</f>
        <v>2133703.61</v>
      </c>
      <c r="G110" s="48">
        <f>G109+'Página8'!G110</f>
        <v>3236256.12</v>
      </c>
      <c r="H110" s="48">
        <f>H109+'Página8'!H110</f>
        <v>1479815.62</v>
      </c>
      <c r="I110" s="48">
        <f>I109+'Página8'!I110</f>
        <v>2991506.68</v>
      </c>
      <c r="J110" s="48">
        <f>J109+'Página8'!J110</f>
        <v>2836452.07</v>
      </c>
      <c r="K110" s="48">
        <f>K109+'Página8'!K110</f>
        <v>2391340.07</v>
      </c>
      <c r="L110" s="48">
        <f>L109+'Página8'!L110</f>
        <v>2382074.76</v>
      </c>
      <c r="M110" s="48">
        <f>M109+'Página8'!M110</f>
        <v>1483588.33</v>
      </c>
      <c r="N110" s="48">
        <f>N109+'Página8'!N110</f>
        <v>2135582.48</v>
      </c>
      <c r="O110" s="48">
        <f>O109+'Página8'!O110</f>
        <v>1060750.06</v>
      </c>
    </row>
    <row r="111">
      <c r="A111" s="34">
        <v>45689.0</v>
      </c>
      <c r="B111" s="48">
        <f>B110+'Página8'!B111</f>
        <v>4682021.47</v>
      </c>
      <c r="C111" s="48">
        <f>C110+'Página8'!C111</f>
        <v>4250773.73</v>
      </c>
      <c r="D111" s="48">
        <f>D110+'Página8'!D111</f>
        <v>3689471.77</v>
      </c>
      <c r="E111" s="48">
        <f>E110+'Página8'!E111</f>
        <v>3613292.46</v>
      </c>
      <c r="F111" s="48">
        <f>F110+'Página8'!F111</f>
        <v>2155224.5</v>
      </c>
      <c r="G111" s="48">
        <f>G110+'Página8'!G111</f>
        <v>3269342.22</v>
      </c>
      <c r="H111" s="48">
        <f>H110+'Página8'!H111</f>
        <v>1495005.47</v>
      </c>
      <c r="I111" s="48">
        <f>I110+'Página8'!I111</f>
        <v>3020467.5</v>
      </c>
      <c r="J111" s="48">
        <f>J110+'Página8'!J111</f>
        <v>2867399.28</v>
      </c>
      <c r="K111" s="48">
        <f>K110+'Página8'!K111</f>
        <v>2413469.22</v>
      </c>
      <c r="L111" s="48">
        <f>L110+'Página8'!L111</f>
        <v>2405851.65</v>
      </c>
      <c r="M111" s="48">
        <f>M110+'Página8'!M111</f>
        <v>1498479.44</v>
      </c>
      <c r="N111" s="48">
        <f>N110+'Página8'!N111</f>
        <v>2156744.56</v>
      </c>
      <c r="O111" s="48">
        <f>O110+'Página8'!O111</f>
        <v>1071402.57</v>
      </c>
    </row>
    <row r="112">
      <c r="A112" s="34">
        <v>45717.0</v>
      </c>
      <c r="B112" s="48">
        <f>B111+'Página8'!B112</f>
        <v>4728387.66</v>
      </c>
      <c r="C112" s="48">
        <f>C111+'Página8'!C112</f>
        <v>4296724.8</v>
      </c>
      <c r="D112" s="48">
        <f>D111+'Página8'!D112</f>
        <v>3724204.64</v>
      </c>
      <c r="E112" s="48">
        <f>E111+'Página8'!E112</f>
        <v>3649353.41</v>
      </c>
      <c r="F112" s="48">
        <f>F111+'Página8'!F112</f>
        <v>2176745.39</v>
      </c>
      <c r="G112" s="48">
        <f>G111+'Página8'!G112</f>
        <v>3302428.32</v>
      </c>
      <c r="H112" s="48">
        <f>H111+'Página8'!H112</f>
        <v>1510195.32</v>
      </c>
      <c r="I112" s="48">
        <f>I111+'Página8'!I112</f>
        <v>3049428.32</v>
      </c>
      <c r="J112" s="48">
        <f>J111+'Página8'!J112</f>
        <v>2898346.49</v>
      </c>
      <c r="K112" s="48">
        <f>K111+'Página8'!K112</f>
        <v>2435598.37</v>
      </c>
      <c r="L112" s="48">
        <f>L111+'Página8'!L112</f>
        <v>2429628.54</v>
      </c>
      <c r="M112" s="48">
        <f>M111+'Página8'!M112</f>
        <v>1513370.55</v>
      </c>
      <c r="N112" s="48">
        <f>N111+'Página8'!N112</f>
        <v>2177906.64</v>
      </c>
      <c r="O112" s="48">
        <f>O111+'Página8'!O112</f>
        <v>1082055.08</v>
      </c>
    </row>
    <row r="113">
      <c r="A113" s="34">
        <v>45748.0</v>
      </c>
      <c r="B113" s="48">
        <f>B112+'Página8'!B113</f>
        <v>4774753.85</v>
      </c>
      <c r="C113" s="48">
        <f>C112+'Página8'!C113</f>
        <v>4342675.87</v>
      </c>
      <c r="D113" s="48">
        <f>D112+'Página8'!D113</f>
        <v>3758937.51</v>
      </c>
      <c r="E113" s="48">
        <f>E112+'Página8'!E113</f>
        <v>3685414.36</v>
      </c>
      <c r="F113" s="48">
        <f>F112+'Página8'!F113</f>
        <v>2198266.28</v>
      </c>
      <c r="G113" s="48">
        <f>G112+'Página8'!G113</f>
        <v>3335514.42</v>
      </c>
      <c r="H113" s="48">
        <f>H112+'Página8'!H113</f>
        <v>1525385.17</v>
      </c>
      <c r="I113" s="48">
        <f>I112+'Página8'!I113</f>
        <v>3078389.14</v>
      </c>
      <c r="J113" s="48">
        <f>J112+'Página8'!J113</f>
        <v>2929293.7</v>
      </c>
      <c r="K113" s="48">
        <f>K112+'Página8'!K113</f>
        <v>2457727.52</v>
      </c>
      <c r="L113" s="48">
        <f>L112+'Página8'!L113</f>
        <v>2453405.43</v>
      </c>
      <c r="M113" s="48">
        <f>M112+'Página8'!M113</f>
        <v>1528261.66</v>
      </c>
      <c r="N113" s="48">
        <f>N112+'Página8'!N113</f>
        <v>2199068.72</v>
      </c>
      <c r="O113" s="48">
        <f>O112+'Página8'!O113</f>
        <v>1092707.59</v>
      </c>
    </row>
    <row r="114">
      <c r="A114" s="34">
        <v>45778.0</v>
      </c>
      <c r="B114" s="48">
        <f>B113+'Página8'!B114</f>
        <v>4821120.04</v>
      </c>
      <c r="C114" s="48">
        <f>C113+'Página8'!C114</f>
        <v>4388626.94</v>
      </c>
      <c r="D114" s="48">
        <f>D113+'Página8'!D114</f>
        <v>3795407.02</v>
      </c>
      <c r="E114" s="48">
        <f>E113+'Página8'!E114</f>
        <v>3721475.31</v>
      </c>
      <c r="F114" s="48">
        <f>F113+'Página8'!F114</f>
        <v>2219787.17</v>
      </c>
      <c r="G114" s="48">
        <f>G113+'Página8'!G114</f>
        <v>3368600.52</v>
      </c>
      <c r="H114" s="48">
        <f>H113+'Página8'!H114</f>
        <v>1540575.02</v>
      </c>
      <c r="I114" s="48">
        <f>I113+'Página8'!I114</f>
        <v>3107349.96</v>
      </c>
      <c r="J114" s="48">
        <f>J113+'Página8'!J114</f>
        <v>2960240.91</v>
      </c>
      <c r="K114" s="48">
        <f>K113+'Página8'!K114</f>
        <v>2480876.51</v>
      </c>
      <c r="L114" s="48">
        <f>L113+'Página8'!L114</f>
        <v>2477182.32</v>
      </c>
      <c r="M114" s="48">
        <f>M113+'Página8'!M114</f>
        <v>1543152.77</v>
      </c>
      <c r="N114" s="48">
        <f>N113+'Página8'!N114</f>
        <v>2220230.8</v>
      </c>
      <c r="O114" s="48">
        <f>O113+'Página8'!O114</f>
        <v>1103360.1</v>
      </c>
    </row>
    <row r="115">
      <c r="A115" s="34">
        <v>45809.0</v>
      </c>
      <c r="B115" s="48">
        <f>B114+'Página8'!B115</f>
        <v>4867486.23</v>
      </c>
      <c r="C115" s="48">
        <f>C114+'Página8'!C115</f>
        <v>4434578.01</v>
      </c>
      <c r="D115" s="48">
        <f>D114+'Página8'!D115</f>
        <v>3831876.53</v>
      </c>
      <c r="E115" s="48">
        <f>E114+'Página8'!E115</f>
        <v>3757536.26</v>
      </c>
      <c r="F115" s="48">
        <f>F114+'Página8'!F115</f>
        <v>2241308.06</v>
      </c>
      <c r="G115" s="48">
        <f>G114+'Página8'!G115</f>
        <v>3401686.62</v>
      </c>
      <c r="H115" s="48">
        <f>H114+'Página8'!H115</f>
        <v>1555764.87</v>
      </c>
      <c r="I115" s="48">
        <f>I114+'Página8'!I115</f>
        <v>3136310.78</v>
      </c>
      <c r="J115" s="48">
        <f>J114+'Página8'!J115</f>
        <v>2991188.12</v>
      </c>
      <c r="K115" s="48">
        <f>K114+'Página8'!K115</f>
        <v>2504025.5</v>
      </c>
      <c r="L115" s="48">
        <f>L114+'Página8'!L115</f>
        <v>2500959.21</v>
      </c>
      <c r="M115" s="48">
        <f>M114+'Página8'!M115</f>
        <v>1558043.88</v>
      </c>
      <c r="N115" s="48">
        <f>N114+'Página8'!N115</f>
        <v>2241392.88</v>
      </c>
      <c r="O115" s="48">
        <f>O114+'Página8'!O115</f>
        <v>1114012.61</v>
      </c>
    </row>
    <row r="116">
      <c r="A116" s="34">
        <v>45839.0</v>
      </c>
      <c r="B116" s="48">
        <f>B115+'Página8'!B116</f>
        <v>4913852.42</v>
      </c>
      <c r="C116" s="48">
        <f>C115+'Página8'!C116</f>
        <v>4480529.08</v>
      </c>
      <c r="D116" s="48">
        <f>D115+'Página8'!D116</f>
        <v>3868346.04</v>
      </c>
      <c r="E116" s="48">
        <f>E115+'Página8'!E116</f>
        <v>3793597.21</v>
      </c>
      <c r="F116" s="48">
        <f>F115+'Página8'!F116</f>
        <v>2262828.95</v>
      </c>
      <c r="G116" s="48">
        <f>G115+'Página8'!G116</f>
        <v>3434772.72</v>
      </c>
      <c r="H116" s="48">
        <f>H115+'Página8'!H116</f>
        <v>1570954.72</v>
      </c>
      <c r="I116" s="48">
        <f>I115+'Página8'!I116</f>
        <v>3165271.6</v>
      </c>
      <c r="J116" s="48">
        <f>J115+'Página8'!J116</f>
        <v>3022135.33</v>
      </c>
      <c r="K116" s="48">
        <f>K115+'Página8'!K116</f>
        <v>2527174.49</v>
      </c>
      <c r="L116" s="48">
        <f>L115+'Página8'!L116</f>
        <v>2524736.1</v>
      </c>
      <c r="M116" s="48">
        <f>M115+'Página8'!M116</f>
        <v>1572934.99</v>
      </c>
      <c r="N116" s="48">
        <f>N115+'Página8'!N116</f>
        <v>2262554.96</v>
      </c>
      <c r="O116" s="48">
        <f>O115+'Página8'!O116</f>
        <v>1124665.12</v>
      </c>
    </row>
    <row r="117">
      <c r="A117" s="34">
        <v>45870.0</v>
      </c>
      <c r="B117" s="48">
        <f>B116+'Página8'!B117</f>
        <v>4960218.61</v>
      </c>
      <c r="C117" s="48">
        <f>C116+'Página8'!C117</f>
        <v>4526480.15</v>
      </c>
      <c r="D117" s="48">
        <f>D116+'Página8'!D117</f>
        <v>3904815.55</v>
      </c>
      <c r="E117" s="48">
        <f>E116+'Página8'!E117</f>
        <v>3829658.16</v>
      </c>
      <c r="F117" s="48">
        <f>F116+'Página8'!F117</f>
        <v>2284349.84</v>
      </c>
      <c r="G117" s="48">
        <f>G116+'Página8'!G117</f>
        <v>3467858.82</v>
      </c>
      <c r="H117" s="48">
        <f>H116+'Página8'!H117</f>
        <v>1586144.57</v>
      </c>
      <c r="I117" s="48">
        <f>I116+'Página8'!I117</f>
        <v>3194232.42</v>
      </c>
      <c r="J117" s="48">
        <f>J116+'Página8'!J117</f>
        <v>3053082.54</v>
      </c>
      <c r="K117" s="48">
        <f>K116+'Página8'!K117</f>
        <v>2550323.48</v>
      </c>
      <c r="L117" s="48">
        <f>L116+'Página8'!L117</f>
        <v>2548512.99</v>
      </c>
      <c r="M117" s="48">
        <f>M116+'Página8'!M117</f>
        <v>1587826.1</v>
      </c>
      <c r="N117" s="48">
        <f>N116+'Página8'!N117</f>
        <v>2283717.04</v>
      </c>
      <c r="O117" s="48">
        <f>O116+'Página8'!O117</f>
        <v>1135317.63</v>
      </c>
    </row>
    <row r="118">
      <c r="A118" s="34">
        <v>45901.0</v>
      </c>
      <c r="B118" s="48">
        <f>B117+'Página8'!B118</f>
        <v>5006584.8</v>
      </c>
      <c r="C118" s="48">
        <f>C117+'Página8'!C118</f>
        <v>4572431.22</v>
      </c>
      <c r="D118" s="48">
        <f>D117+'Página8'!D118</f>
        <v>3941285.06</v>
      </c>
      <c r="E118" s="48">
        <f>E117+'Página8'!E118</f>
        <v>3865719.11</v>
      </c>
      <c r="F118" s="48">
        <f>F117+'Página8'!F118</f>
        <v>2305870.73</v>
      </c>
      <c r="G118" s="48">
        <f>G117+'Página8'!G118</f>
        <v>3500944.92</v>
      </c>
      <c r="H118" s="48">
        <f>H117+'Página8'!H118</f>
        <v>1601334.42</v>
      </c>
      <c r="I118" s="48">
        <f>I117+'Página8'!I118</f>
        <v>3223193.24</v>
      </c>
      <c r="J118" s="48">
        <f>J117+'Página8'!J118</f>
        <v>3084029.75</v>
      </c>
      <c r="K118" s="48">
        <f>K117+'Página8'!K118</f>
        <v>2573472.47</v>
      </c>
      <c r="L118" s="48">
        <f>L117+'Página8'!L118</f>
        <v>2572289.88</v>
      </c>
      <c r="M118" s="48">
        <f>M117+'Página8'!M118</f>
        <v>1602717.21</v>
      </c>
      <c r="N118" s="48">
        <f>N117+'Página8'!N118</f>
        <v>2304879.12</v>
      </c>
      <c r="O118" s="48">
        <f>O117+'Página8'!O118</f>
        <v>1145970.14</v>
      </c>
    </row>
    <row r="119">
      <c r="A119" s="34">
        <v>45931.0</v>
      </c>
      <c r="B119" s="48">
        <f>B118+'Página8'!B119</f>
        <v>5052950.99</v>
      </c>
      <c r="C119" s="48">
        <f>C118+'Página8'!C119</f>
        <v>4618382.29</v>
      </c>
      <c r="D119" s="48">
        <f>D118+'Página8'!D119</f>
        <v>3977754.57</v>
      </c>
      <c r="E119" s="48">
        <f>E118+'Página8'!E119</f>
        <v>3901780.06</v>
      </c>
      <c r="F119" s="48">
        <f>F118+'Página8'!F119</f>
        <v>2327391.62</v>
      </c>
      <c r="G119" s="48">
        <f>G118+'Página8'!G119</f>
        <v>3534031.02</v>
      </c>
      <c r="H119" s="48">
        <f>H118+'Página8'!H119</f>
        <v>1616524.27</v>
      </c>
      <c r="I119" s="48">
        <f>I118+'Página8'!I119</f>
        <v>3252154.06</v>
      </c>
      <c r="J119" s="48">
        <f>J118+'Página8'!J119</f>
        <v>3114976.96</v>
      </c>
      <c r="K119" s="48">
        <f>K118+'Página8'!K119</f>
        <v>2596621.46</v>
      </c>
      <c r="L119" s="48">
        <f>L118+'Página8'!L119</f>
        <v>2596066.77</v>
      </c>
      <c r="M119" s="48">
        <f>M118+'Página8'!M119</f>
        <v>1617608.32</v>
      </c>
      <c r="N119" s="48">
        <f>N118+'Página8'!N119</f>
        <v>2326041.2</v>
      </c>
      <c r="O119" s="48">
        <f>O118+'Página8'!O119</f>
        <v>1156622.65</v>
      </c>
    </row>
    <row r="120">
      <c r="A120" s="34">
        <v>45962.0</v>
      </c>
      <c r="B120" s="48">
        <f>B119+'Página8'!B120</f>
        <v>5099317.18</v>
      </c>
      <c r="C120" s="48">
        <f>C119+'Página8'!C120</f>
        <v>4664333.36</v>
      </c>
      <c r="D120" s="48">
        <f>D119+'Página8'!D120</f>
        <v>4014224.08</v>
      </c>
      <c r="E120" s="48">
        <f>E119+'Página8'!E120</f>
        <v>3937841.01</v>
      </c>
      <c r="F120" s="48">
        <f>F119+'Página8'!F120</f>
        <v>2348912.51</v>
      </c>
      <c r="G120" s="48">
        <f>G119+'Página8'!G120</f>
        <v>3567117.12</v>
      </c>
      <c r="H120" s="48">
        <f>H119+'Página8'!H120</f>
        <v>1631714.12</v>
      </c>
      <c r="I120" s="48">
        <f>I119+'Página8'!I120</f>
        <v>3281114.88</v>
      </c>
      <c r="J120" s="48">
        <f>J119+'Página8'!J120</f>
        <v>3145924.17</v>
      </c>
      <c r="K120" s="48">
        <f>K119+'Página8'!K120</f>
        <v>2619770.45</v>
      </c>
      <c r="L120" s="48">
        <f>L119+'Página8'!L120</f>
        <v>2619843.66</v>
      </c>
      <c r="M120" s="48">
        <f>M119+'Página8'!M120</f>
        <v>1632499.43</v>
      </c>
      <c r="N120" s="48">
        <f>N119+'Página8'!N120</f>
        <v>2347203.28</v>
      </c>
      <c r="O120" s="48">
        <f>O119+'Página8'!O120</f>
        <v>1167275.16</v>
      </c>
    </row>
    <row r="121">
      <c r="A121" s="34">
        <v>45992.0</v>
      </c>
      <c r="B121" s="48">
        <f>B120+'Página8'!B121</f>
        <v>5207489.5</v>
      </c>
      <c r="C121" s="48">
        <f>C120+'Página8'!C121</f>
        <v>4771537.21</v>
      </c>
      <c r="D121" s="48">
        <f>D120+'Página8'!D121</f>
        <v>4099307.45</v>
      </c>
      <c r="E121" s="48">
        <f>E120+'Página8'!E121</f>
        <v>4021971.21</v>
      </c>
      <c r="F121" s="48">
        <f>F120+'Página8'!F121</f>
        <v>2399120.75</v>
      </c>
      <c r="G121" s="48">
        <f>G120+'Página8'!G121</f>
        <v>3644306.99</v>
      </c>
      <c r="H121" s="48">
        <f>H120+'Página8'!H121</f>
        <v>1667152.04</v>
      </c>
      <c r="I121" s="48">
        <f>I120+'Página8'!I121</f>
        <v>3348680.46</v>
      </c>
      <c r="J121" s="48">
        <f>J120+'Página8'!J121</f>
        <v>3218124.02</v>
      </c>
      <c r="K121" s="48">
        <f>K120+'Página8'!K121</f>
        <v>2673777.04</v>
      </c>
      <c r="L121" s="48">
        <f>L120+'Página8'!L121</f>
        <v>2675315.15</v>
      </c>
      <c r="M121" s="48">
        <f>M120+'Página8'!M121</f>
        <v>1667240.39</v>
      </c>
      <c r="N121" s="48">
        <f>N120+'Página8'!N121</f>
        <v>2396574.42</v>
      </c>
      <c r="O121" s="48">
        <f>O120+'Página8'!O121</f>
        <v>1192127.47</v>
      </c>
    </row>
    <row r="122">
      <c r="A122" s="34">
        <v>46023.0</v>
      </c>
      <c r="B122" s="48">
        <f>B121+'Página8'!B122</f>
        <v>5253855.69</v>
      </c>
      <c r="C122" s="48">
        <f>C121+'Página8'!C122</f>
        <v>4817488.28</v>
      </c>
      <c r="D122" s="48">
        <f>D121+'Página8'!D122</f>
        <v>4135776.96</v>
      </c>
      <c r="E122" s="48">
        <f>E121+'Página8'!E122</f>
        <v>4058032.16</v>
      </c>
      <c r="F122" s="48">
        <f>F121+'Página8'!F122</f>
        <v>2420641.64</v>
      </c>
      <c r="G122" s="48">
        <f>G121+'Página8'!G122</f>
        <v>3677393.09</v>
      </c>
      <c r="H122" s="48">
        <f>H121+'Página8'!H122</f>
        <v>1682341.89</v>
      </c>
      <c r="I122" s="48">
        <f>I121+'Página8'!I122</f>
        <v>3377641.28</v>
      </c>
      <c r="J122" s="48">
        <f>J121+'Página8'!J122</f>
        <v>3249071.23</v>
      </c>
      <c r="K122" s="48">
        <f>K121+'Página8'!K122</f>
        <v>2696926.03</v>
      </c>
      <c r="L122" s="48">
        <f>L121+'Página8'!L122</f>
        <v>2699092.04</v>
      </c>
      <c r="M122" s="48">
        <f>M121+'Página8'!M122</f>
        <v>1682131.5</v>
      </c>
      <c r="N122" s="48">
        <f>N121+'Página8'!N122</f>
        <v>2417736.5</v>
      </c>
      <c r="O122" s="48">
        <f>O121+'Página8'!O122</f>
        <v>1202779.98</v>
      </c>
    </row>
    <row r="123">
      <c r="A123" s="34">
        <v>46054.0</v>
      </c>
      <c r="B123" s="48">
        <f>B122+'Página8'!B123</f>
        <v>5300221.88</v>
      </c>
      <c r="C123" s="48">
        <f>C122+'Página8'!C123</f>
        <v>4863439.35</v>
      </c>
      <c r="D123" s="48">
        <f>D122+'Página8'!D123</f>
        <v>4172246.47</v>
      </c>
      <c r="E123" s="48">
        <f>E122+'Página8'!E123</f>
        <v>4094093.11</v>
      </c>
      <c r="F123" s="48">
        <f>F122+'Página8'!F123</f>
        <v>2442162.53</v>
      </c>
      <c r="G123" s="48">
        <f>G122+'Página8'!G123</f>
        <v>3710479.19</v>
      </c>
      <c r="H123" s="48">
        <f>H122+'Página8'!H123</f>
        <v>1697531.74</v>
      </c>
      <c r="I123" s="48">
        <f>I122+'Página8'!I123</f>
        <v>3406602.1</v>
      </c>
      <c r="J123" s="48">
        <f>J122+'Página8'!J123</f>
        <v>3280018.44</v>
      </c>
      <c r="K123" s="48">
        <f>K122+'Página8'!K123</f>
        <v>2720075.02</v>
      </c>
      <c r="L123" s="48">
        <f>L122+'Página8'!L123</f>
        <v>2722868.93</v>
      </c>
      <c r="M123" s="48">
        <f>M122+'Página8'!M123</f>
        <v>1697022.61</v>
      </c>
      <c r="N123" s="48">
        <f>N122+'Página8'!N123</f>
        <v>2438898.58</v>
      </c>
      <c r="O123" s="48">
        <f>O122+'Página8'!O123</f>
        <v>1213432.49</v>
      </c>
    </row>
    <row r="124">
      <c r="A124" s="34">
        <v>46082.0</v>
      </c>
      <c r="B124" s="48">
        <f>B123+'Página8'!B124</f>
        <v>5346588.07</v>
      </c>
      <c r="C124" s="48">
        <f>C123+'Página8'!C124</f>
        <v>4909390.42</v>
      </c>
      <c r="D124" s="48">
        <f>D123+'Página8'!D124</f>
        <v>4208715.98</v>
      </c>
      <c r="E124" s="48">
        <f>E123+'Página8'!E124</f>
        <v>4130154.06</v>
      </c>
      <c r="F124" s="48">
        <f>F123+'Página8'!F124</f>
        <v>2463683.42</v>
      </c>
      <c r="G124" s="48">
        <f>G123+'Página8'!G124</f>
        <v>3743565.29</v>
      </c>
      <c r="H124" s="48">
        <f>H123+'Página8'!H124</f>
        <v>1712721.59</v>
      </c>
      <c r="I124" s="48">
        <f>I123+'Página8'!I124</f>
        <v>3435562.92</v>
      </c>
      <c r="J124" s="48">
        <f>J123+'Página8'!J124</f>
        <v>3310965.65</v>
      </c>
      <c r="K124" s="48">
        <f>K123+'Página8'!K124</f>
        <v>2743224.01</v>
      </c>
      <c r="L124" s="48">
        <f>L123+'Página8'!L124</f>
        <v>2746645.82</v>
      </c>
      <c r="M124" s="48">
        <f>M123+'Página8'!M124</f>
        <v>1711913.72</v>
      </c>
      <c r="N124" s="48">
        <f>N123+'Página8'!N124</f>
        <v>2460060.66</v>
      </c>
      <c r="O124" s="48">
        <f>O123+'Página8'!O124</f>
        <v>1224085</v>
      </c>
    </row>
    <row r="125">
      <c r="A125" s="34">
        <v>46113.0</v>
      </c>
      <c r="B125" s="48">
        <f>B124+'Página8'!B125</f>
        <v>5392954.26</v>
      </c>
      <c r="C125" s="48">
        <f>C124+'Página8'!C125</f>
        <v>4955341.49</v>
      </c>
      <c r="D125" s="48">
        <f>D124+'Página8'!D125</f>
        <v>4245185.49</v>
      </c>
      <c r="E125" s="48">
        <f>E124+'Página8'!E125</f>
        <v>4170265.01</v>
      </c>
      <c r="F125" s="48">
        <f>F124+'Página8'!F125</f>
        <v>2487634.31</v>
      </c>
      <c r="G125" s="48">
        <f>G124+'Página8'!G125</f>
        <v>3780259.29</v>
      </c>
      <c r="H125" s="48">
        <f>H124+'Página8'!H125</f>
        <v>1729636.29</v>
      </c>
      <c r="I125" s="48">
        <f>I124+'Página8'!I125</f>
        <v>3464523.74</v>
      </c>
      <c r="J125" s="48">
        <f>J124+'Página8'!J125</f>
        <v>3341912.86</v>
      </c>
      <c r="K125" s="48">
        <f>K124+'Página8'!K125</f>
        <v>2766373</v>
      </c>
      <c r="L125" s="48">
        <f>L124+'Página8'!L125</f>
        <v>2773358.96</v>
      </c>
      <c r="M125" s="48">
        <f>M124+'Página8'!M125</f>
        <v>1728566.58</v>
      </c>
      <c r="N125" s="48">
        <f>N124+'Página8'!N125</f>
        <v>2483341.48</v>
      </c>
      <c r="O125" s="48">
        <f>O124+'Página8'!O125</f>
        <v>1235750.43</v>
      </c>
    </row>
    <row r="126">
      <c r="A126" s="34">
        <v>46143.0</v>
      </c>
      <c r="B126" s="48">
        <f>B125+'Página8'!B126</f>
        <v>5439320.45</v>
      </c>
      <c r="C126" s="48">
        <f>C125+'Página8'!C126</f>
        <v>5001292.56</v>
      </c>
      <c r="D126" s="48">
        <f>D125+'Página8'!D126</f>
        <v>4286535.49</v>
      </c>
      <c r="E126" s="48">
        <f>E125+'Página8'!E126</f>
        <v>4210375.96</v>
      </c>
      <c r="F126" s="48">
        <f>F125+'Página8'!F126</f>
        <v>2511585.2</v>
      </c>
      <c r="G126" s="48">
        <f>G125+'Página8'!G126</f>
        <v>3816953.29</v>
      </c>
      <c r="H126" s="48">
        <f>H125+'Página8'!H126</f>
        <v>1746550.99</v>
      </c>
      <c r="I126" s="48">
        <f>I125+'Página8'!I126</f>
        <v>3493484.56</v>
      </c>
      <c r="J126" s="48">
        <f>J125+'Página8'!J126</f>
        <v>3372860.07</v>
      </c>
      <c r="K126" s="48">
        <f>K125+'Página8'!K126</f>
        <v>2792388.06</v>
      </c>
      <c r="L126" s="48">
        <f>L125+'Página8'!L126</f>
        <v>2800072.1</v>
      </c>
      <c r="M126" s="48">
        <f>M125+'Página8'!M126</f>
        <v>1745219.44</v>
      </c>
      <c r="N126" s="48">
        <f>N125+'Página8'!N126</f>
        <v>2506622.3</v>
      </c>
      <c r="O126" s="48">
        <f>O125+'Página8'!O126</f>
        <v>1247415.86</v>
      </c>
    </row>
    <row r="127">
      <c r="A127" s="34">
        <v>46174.0</v>
      </c>
      <c r="B127" s="48">
        <f>B126+'Página8'!B127</f>
        <v>5485686.64</v>
      </c>
      <c r="C127" s="48">
        <f>C126+'Página8'!C127</f>
        <v>5047243.63</v>
      </c>
      <c r="D127" s="48">
        <f>D126+'Página8'!D127</f>
        <v>4327885.49</v>
      </c>
      <c r="E127" s="48">
        <f>E126+'Página8'!E127</f>
        <v>4250486.91</v>
      </c>
      <c r="F127" s="48">
        <f>F126+'Página8'!F127</f>
        <v>2535536.09</v>
      </c>
      <c r="G127" s="48">
        <f>G126+'Página8'!G127</f>
        <v>3853647.29</v>
      </c>
      <c r="H127" s="48">
        <f>H126+'Página8'!H127</f>
        <v>1763465.69</v>
      </c>
      <c r="I127" s="48">
        <f>I126+'Página8'!I127</f>
        <v>3522445.38</v>
      </c>
      <c r="J127" s="48">
        <f>J126+'Página8'!J127</f>
        <v>3403807.28</v>
      </c>
      <c r="K127" s="48">
        <f>K126+'Página8'!K127</f>
        <v>2818403.12</v>
      </c>
      <c r="L127" s="48">
        <f>L126+'Página8'!L127</f>
        <v>2826785.24</v>
      </c>
      <c r="M127" s="48">
        <f>M126+'Página8'!M127</f>
        <v>1761872.3</v>
      </c>
      <c r="N127" s="48">
        <f>N126+'Página8'!N127</f>
        <v>2529903.12</v>
      </c>
      <c r="O127" s="48">
        <f>O126+'Página8'!O127</f>
        <v>1259081.29</v>
      </c>
    </row>
    <row r="128">
      <c r="A128" s="34">
        <v>46204.0</v>
      </c>
      <c r="B128" s="48">
        <f>B127+'Página8'!B128</f>
        <v>5532052.83</v>
      </c>
      <c r="C128" s="48">
        <f>C127+'Página8'!C128</f>
        <v>5093194.7</v>
      </c>
      <c r="D128" s="48">
        <f>D127+'Página8'!D128</f>
        <v>4369235.49</v>
      </c>
      <c r="E128" s="48">
        <f>E127+'Página8'!E128</f>
        <v>4290597.86</v>
      </c>
      <c r="F128" s="48">
        <f>F127+'Página8'!F128</f>
        <v>2559486.98</v>
      </c>
      <c r="G128" s="48">
        <f>G127+'Página8'!G128</f>
        <v>3890341.29</v>
      </c>
      <c r="H128" s="48">
        <f>H127+'Página8'!H128</f>
        <v>1780380.39</v>
      </c>
      <c r="I128" s="48">
        <f>I127+'Página8'!I128</f>
        <v>3551406.2</v>
      </c>
      <c r="J128" s="48">
        <f>J127+'Página8'!J128</f>
        <v>3434754.49</v>
      </c>
      <c r="K128" s="48">
        <f>K127+'Página8'!K128</f>
        <v>2844418.18</v>
      </c>
      <c r="L128" s="48">
        <f>L127+'Página8'!L128</f>
        <v>2853498.38</v>
      </c>
      <c r="M128" s="48">
        <f>M127+'Página8'!M128</f>
        <v>1778525.16</v>
      </c>
      <c r="N128" s="48">
        <f>N127+'Página8'!N128</f>
        <v>2553183.94</v>
      </c>
      <c r="O128" s="48">
        <f>O127+'Página8'!O128</f>
        <v>1270746.72</v>
      </c>
    </row>
    <row r="129">
      <c r="A129" s="34">
        <v>46235.0</v>
      </c>
      <c r="B129" s="48">
        <f>B128+'Página8'!B129</f>
        <v>5578419.02</v>
      </c>
      <c r="C129" s="48">
        <f>C128+'Página8'!C129</f>
        <v>5139145.77</v>
      </c>
      <c r="D129" s="48">
        <f>D128+'Página8'!D129</f>
        <v>4410585.49</v>
      </c>
      <c r="E129" s="48">
        <f>E128+'Página8'!E129</f>
        <v>4330708.81</v>
      </c>
      <c r="F129" s="48">
        <f>F128+'Página8'!F129</f>
        <v>2583437.87</v>
      </c>
      <c r="G129" s="48">
        <f>G128+'Página8'!G129</f>
        <v>3927035.29</v>
      </c>
      <c r="H129" s="48">
        <f>H128+'Página8'!H129</f>
        <v>1797295.09</v>
      </c>
      <c r="I129" s="48">
        <f>I128+'Página8'!I129</f>
        <v>3580367.02</v>
      </c>
      <c r="J129" s="48">
        <f>J128+'Página8'!J129</f>
        <v>3465701.7</v>
      </c>
      <c r="K129" s="48">
        <f>K128+'Página8'!K129</f>
        <v>2870433.24</v>
      </c>
      <c r="L129" s="48">
        <f>L128+'Página8'!L129</f>
        <v>2880211.52</v>
      </c>
      <c r="M129" s="48">
        <f>M128+'Página8'!M129</f>
        <v>1795178.02</v>
      </c>
      <c r="N129" s="48">
        <f>N128+'Página8'!N129</f>
        <v>2576464.76</v>
      </c>
      <c r="O129" s="48">
        <f>O128+'Página8'!O129</f>
        <v>1282412.15</v>
      </c>
    </row>
    <row r="130">
      <c r="A130" s="34">
        <v>46266.0</v>
      </c>
      <c r="B130" s="48">
        <f>B129+'Página8'!B130</f>
        <v>5624785.21</v>
      </c>
      <c r="C130" s="48">
        <f>C129+'Página8'!C130</f>
        <v>5185096.84</v>
      </c>
      <c r="D130" s="48">
        <f>D129+'Página8'!D130</f>
        <v>4451935.49</v>
      </c>
      <c r="E130" s="48">
        <f>E129+'Página8'!E130</f>
        <v>4370819.76</v>
      </c>
      <c r="F130" s="48">
        <f>F129+'Página8'!F130</f>
        <v>2607388.76</v>
      </c>
      <c r="G130" s="48">
        <f>G129+'Página8'!G130</f>
        <v>3963729.29</v>
      </c>
      <c r="H130" s="48">
        <f>H129+'Página8'!H130</f>
        <v>1814209.79</v>
      </c>
      <c r="I130" s="48">
        <f>I129+'Página8'!I130</f>
        <v>3609327.84</v>
      </c>
      <c r="J130" s="48">
        <f>J129+'Página8'!J130</f>
        <v>3496648.91</v>
      </c>
      <c r="K130" s="48">
        <f>K129+'Página8'!K130</f>
        <v>2896448.3</v>
      </c>
      <c r="L130" s="48">
        <f>L129+'Página8'!L130</f>
        <v>2906924.66</v>
      </c>
      <c r="M130" s="48">
        <f>M129+'Página8'!M130</f>
        <v>1811830.88</v>
      </c>
      <c r="N130" s="48">
        <f>N129+'Página8'!N130</f>
        <v>2599745.58</v>
      </c>
      <c r="O130" s="48">
        <f>O129+'Página8'!O130</f>
        <v>1294077.58</v>
      </c>
    </row>
    <row r="131">
      <c r="A131" s="34">
        <v>46296.0</v>
      </c>
      <c r="B131" s="48">
        <f>B130+'Página8'!B131</f>
        <v>5671151.4</v>
      </c>
      <c r="C131" s="48">
        <f>C130+'Página8'!C131</f>
        <v>5231047.91</v>
      </c>
      <c r="D131" s="48">
        <f>D130+'Página8'!D131</f>
        <v>4493285.49</v>
      </c>
      <c r="E131" s="48">
        <f>E130+'Página8'!E131</f>
        <v>4410930.71</v>
      </c>
      <c r="F131" s="48">
        <f>F130+'Página8'!F131</f>
        <v>2631339.65</v>
      </c>
      <c r="G131" s="48">
        <f>G130+'Página8'!G131</f>
        <v>4000423.29</v>
      </c>
      <c r="H131" s="48">
        <f>H130+'Página8'!H131</f>
        <v>1831124.49</v>
      </c>
      <c r="I131" s="48">
        <f>I130+'Página8'!I131</f>
        <v>3638288.66</v>
      </c>
      <c r="J131" s="48">
        <f>J130+'Página8'!J131</f>
        <v>3527596.12</v>
      </c>
      <c r="K131" s="48">
        <f>K130+'Página8'!K131</f>
        <v>2922463.36</v>
      </c>
      <c r="L131" s="48">
        <f>L130+'Página8'!L131</f>
        <v>2933637.8</v>
      </c>
      <c r="M131" s="48">
        <f>M130+'Página8'!M131</f>
        <v>1828483.74</v>
      </c>
      <c r="N131" s="48">
        <f>N130+'Página8'!N131</f>
        <v>2623026.4</v>
      </c>
      <c r="O131" s="48">
        <f>O130+'Página8'!O131</f>
        <v>1305743.01</v>
      </c>
    </row>
    <row r="132">
      <c r="A132" s="34">
        <v>46327.0</v>
      </c>
      <c r="B132" s="48">
        <f>B131+'Página8'!B132</f>
        <v>5717517.59</v>
      </c>
      <c r="C132" s="48">
        <f>C131+'Página8'!C132</f>
        <v>5276998.98</v>
      </c>
      <c r="D132" s="48">
        <f>D131+'Página8'!D132</f>
        <v>4534635.49</v>
      </c>
      <c r="E132" s="48">
        <f>E131+'Página8'!E132</f>
        <v>4451041.66</v>
      </c>
      <c r="F132" s="48">
        <f>F131+'Página8'!F132</f>
        <v>2655290.54</v>
      </c>
      <c r="G132" s="48">
        <f>G131+'Página8'!G132</f>
        <v>4037117.29</v>
      </c>
      <c r="H132" s="48">
        <f>H131+'Página8'!H132</f>
        <v>1848039.19</v>
      </c>
      <c r="I132" s="48">
        <f>I131+'Página8'!I132</f>
        <v>3667249.48</v>
      </c>
      <c r="J132" s="48">
        <f>J131+'Página8'!J132</f>
        <v>3558543.33</v>
      </c>
      <c r="K132" s="48">
        <f>K131+'Página8'!K132</f>
        <v>2948478.42</v>
      </c>
      <c r="L132" s="48">
        <f>L131+'Página8'!L132</f>
        <v>2960350.94</v>
      </c>
      <c r="M132" s="48">
        <f>M131+'Página8'!M132</f>
        <v>1845136.6</v>
      </c>
      <c r="N132" s="48">
        <f>N131+'Página8'!N132</f>
        <v>2646307.22</v>
      </c>
      <c r="O132" s="48">
        <f>O131+'Página8'!O132</f>
        <v>1317408.44</v>
      </c>
    </row>
    <row r="133">
      <c r="A133" s="34">
        <v>46357.0</v>
      </c>
      <c r="B133" s="48">
        <f>B132+'Página8'!B133</f>
        <v>5825689.91</v>
      </c>
      <c r="C133" s="48">
        <f>C132+'Página8'!C133</f>
        <v>5384202.83</v>
      </c>
      <c r="D133" s="48">
        <f>D132+'Página8'!D133</f>
        <v>4631105.04</v>
      </c>
      <c r="E133" s="48">
        <f>E132+'Página8'!E133</f>
        <v>4544620.51</v>
      </c>
      <c r="F133" s="48">
        <f>F132+'Página8'!F133</f>
        <v>2711167.97</v>
      </c>
      <c r="G133" s="48">
        <f>G132+'Página8'!G133</f>
        <v>4122724.39</v>
      </c>
      <c r="H133" s="48">
        <f>H132+'Página8'!H133</f>
        <v>1887501.19</v>
      </c>
      <c r="I133" s="48">
        <f>I132+'Página8'!I133</f>
        <v>3734815.06</v>
      </c>
      <c r="J133" s="48">
        <f>J132+'Página8'!J133</f>
        <v>3630743.18</v>
      </c>
      <c r="K133" s="48">
        <f>K132+'Página8'!K133</f>
        <v>3009171.56</v>
      </c>
      <c r="L133" s="48">
        <f>L132+'Página8'!L133</f>
        <v>3022672.7</v>
      </c>
      <c r="M133" s="48">
        <f>M132+'Página8'!M133</f>
        <v>1883987.72</v>
      </c>
      <c r="N133" s="48">
        <f>N132+'Página8'!N133</f>
        <v>2700621.38</v>
      </c>
      <c r="O133" s="48">
        <f>O132+'Página8'!O133</f>
        <v>1344623.89</v>
      </c>
    </row>
    <row r="134">
      <c r="A134" s="34">
        <v>46388.0</v>
      </c>
      <c r="B134" s="48">
        <f>B133+'Página8'!B134</f>
        <v>5872056.1</v>
      </c>
      <c r="C134" s="48">
        <f>C133+'Página8'!C134</f>
        <v>5430153.9</v>
      </c>
      <c r="D134" s="48">
        <f>D133+'Página8'!D134</f>
        <v>4672455.04</v>
      </c>
      <c r="E134" s="48">
        <f>E133+'Página8'!E134</f>
        <v>4584731.46</v>
      </c>
      <c r="F134" s="48">
        <f>F133+'Página8'!F134</f>
        <v>2735118.86</v>
      </c>
      <c r="G134" s="48">
        <f>G133+'Página8'!G134</f>
        <v>4159418.39</v>
      </c>
      <c r="H134" s="48">
        <f>H133+'Página8'!H134</f>
        <v>1904415.89</v>
      </c>
      <c r="I134" s="48">
        <f>I133+'Página8'!I134</f>
        <v>3763775.88</v>
      </c>
      <c r="J134" s="48">
        <f>J133+'Página8'!J134</f>
        <v>3661690.39</v>
      </c>
      <c r="K134" s="48">
        <f>K133+'Página8'!K134</f>
        <v>3035186.62</v>
      </c>
      <c r="L134" s="48">
        <f>L133+'Página8'!L134</f>
        <v>3049385.84</v>
      </c>
      <c r="M134" s="48">
        <f>M133+'Página8'!M134</f>
        <v>1900640.58</v>
      </c>
      <c r="N134" s="48">
        <f>N133+'Página8'!N134</f>
        <v>2723902.2</v>
      </c>
      <c r="O134" s="48">
        <f>O133+'Página8'!O134</f>
        <v>1356289.32</v>
      </c>
    </row>
    <row r="135">
      <c r="A135" s="34">
        <v>46419.0</v>
      </c>
      <c r="B135" s="48">
        <f>B134+'Página8'!B135</f>
        <v>5918422.29</v>
      </c>
      <c r="C135" s="48">
        <f>C134+'Página8'!C135</f>
        <v>5476104.97</v>
      </c>
      <c r="D135" s="48">
        <f>D134+'Página8'!D135</f>
        <v>4713805.04</v>
      </c>
      <c r="E135" s="48">
        <f>E134+'Página8'!E135</f>
        <v>4625204.66</v>
      </c>
      <c r="F135" s="48">
        <f>F134+'Página8'!F135</f>
        <v>2759287.1</v>
      </c>
      <c r="G135" s="48">
        <f>G134+'Página8'!G135</f>
        <v>4196112.39</v>
      </c>
      <c r="H135" s="48">
        <f>H134+'Página8'!H135</f>
        <v>1921330.59</v>
      </c>
      <c r="I135" s="48">
        <f>I134+'Página8'!I135</f>
        <v>3792736.7</v>
      </c>
      <c r="J135" s="48">
        <f>J134+'Página8'!J135</f>
        <v>3692637.6</v>
      </c>
      <c r="K135" s="48">
        <f>K134+'Página8'!K135</f>
        <v>3061201.68</v>
      </c>
      <c r="L135" s="48">
        <f>L134+'Página8'!L135</f>
        <v>3076361.61</v>
      </c>
      <c r="M135" s="48">
        <f>M134+'Página8'!M135</f>
        <v>1917451.02</v>
      </c>
      <c r="N135" s="48">
        <f>N134+'Página8'!N135</f>
        <v>2747183.02</v>
      </c>
      <c r="O135" s="48">
        <f>O134+'Página8'!O135</f>
        <v>1367954.75</v>
      </c>
    </row>
    <row r="136">
      <c r="A136" s="34">
        <v>46447.0</v>
      </c>
      <c r="B136" s="48">
        <f>B135+'Página8'!B136</f>
        <v>5964788.48</v>
      </c>
      <c r="C136" s="48">
        <f>C135+'Página8'!C136</f>
        <v>5522056.04</v>
      </c>
      <c r="D136" s="48">
        <f>D135+'Página8'!D136</f>
        <v>4755155.04</v>
      </c>
      <c r="E136" s="48">
        <f>E135+'Página8'!E136</f>
        <v>4665677.86</v>
      </c>
      <c r="F136" s="48">
        <f>F135+'Página8'!F136</f>
        <v>2783455.34</v>
      </c>
      <c r="G136" s="48">
        <f>G135+'Página8'!G136</f>
        <v>4232806.39</v>
      </c>
      <c r="H136" s="48">
        <f>H135+'Página8'!H136</f>
        <v>1938245.29</v>
      </c>
      <c r="I136" s="48">
        <f>I135+'Página8'!I136</f>
        <v>3821697.52</v>
      </c>
      <c r="J136" s="48">
        <f>J135+'Página8'!J136</f>
        <v>3723584.81</v>
      </c>
      <c r="K136" s="48">
        <f>K135+'Página8'!K136</f>
        <v>3087216.74</v>
      </c>
      <c r="L136" s="48">
        <f>L135+'Página8'!L136</f>
        <v>3103337.38</v>
      </c>
      <c r="M136" s="48">
        <f>M135+'Página8'!M136</f>
        <v>1934261.46</v>
      </c>
      <c r="N136" s="48">
        <f>N135+'Página8'!N136</f>
        <v>2770463.84</v>
      </c>
      <c r="O136" s="48">
        <f>O135+'Página8'!O136</f>
        <v>1379620.18</v>
      </c>
    </row>
    <row r="137">
      <c r="A137" s="34">
        <v>46478.0</v>
      </c>
      <c r="B137" s="48">
        <f>B136+'Página8'!B137</f>
        <v>6011154.67</v>
      </c>
      <c r="C137" s="48">
        <f>C136+'Página8'!C137</f>
        <v>5568007.11</v>
      </c>
      <c r="D137" s="48">
        <f>D136+'Página8'!D137</f>
        <v>4796505.04</v>
      </c>
      <c r="E137" s="48">
        <f>E136+'Página8'!E137</f>
        <v>4706151.06</v>
      </c>
      <c r="F137" s="48">
        <f>F136+'Página8'!F137</f>
        <v>2807623.58</v>
      </c>
      <c r="G137" s="48">
        <f>G136+'Página8'!G137</f>
        <v>4269500.39</v>
      </c>
      <c r="H137" s="48">
        <f>H136+'Página8'!H137</f>
        <v>1955159.99</v>
      </c>
      <c r="I137" s="48">
        <f>I136+'Página8'!I137</f>
        <v>3850658.34</v>
      </c>
      <c r="J137" s="48">
        <f>J136+'Página8'!J137</f>
        <v>3754532.02</v>
      </c>
      <c r="K137" s="48">
        <f>K136+'Página8'!K137</f>
        <v>3113231.8</v>
      </c>
      <c r="L137" s="48">
        <f>L136+'Página8'!L137</f>
        <v>3130313.15</v>
      </c>
      <c r="M137" s="48">
        <f>M136+'Página8'!M137</f>
        <v>1951071.9</v>
      </c>
      <c r="N137" s="48">
        <f>N136+'Página8'!N137</f>
        <v>2793744.66</v>
      </c>
      <c r="O137" s="48">
        <f>O136+'Página8'!O137</f>
        <v>1391285.61</v>
      </c>
    </row>
    <row r="138">
      <c r="A138" s="34">
        <v>46508.0</v>
      </c>
      <c r="B138" s="48">
        <f>B137+'Página8'!B138</f>
        <v>6057520.86</v>
      </c>
      <c r="C138" s="48">
        <f>C137+'Página8'!C138</f>
        <v>5613958.18</v>
      </c>
      <c r="D138" s="48">
        <f>D137+'Página8'!D138</f>
        <v>4837855.04</v>
      </c>
      <c r="E138" s="48">
        <f>E137+'Página8'!E138</f>
        <v>4746624.26</v>
      </c>
      <c r="F138" s="48">
        <f>F137+'Página8'!F138</f>
        <v>2831791.82</v>
      </c>
      <c r="G138" s="48">
        <f>G137+'Página8'!G138</f>
        <v>4306194.39</v>
      </c>
      <c r="H138" s="48">
        <f>H137+'Página8'!H138</f>
        <v>1972074.69</v>
      </c>
      <c r="I138" s="48">
        <f>I137+'Página8'!I138</f>
        <v>3879619.16</v>
      </c>
      <c r="J138" s="48">
        <f>J137+'Página8'!J138</f>
        <v>3785479.23</v>
      </c>
      <c r="K138" s="48">
        <f>K137+'Página8'!K138</f>
        <v>3139246.86</v>
      </c>
      <c r="L138" s="48">
        <f>L137+'Página8'!L138</f>
        <v>3157288.92</v>
      </c>
      <c r="M138" s="48">
        <f>M137+'Página8'!M138</f>
        <v>1967882.34</v>
      </c>
      <c r="N138" s="48">
        <f>N137+'Página8'!N138</f>
        <v>2817025.48</v>
      </c>
      <c r="O138" s="48">
        <f>O137+'Página8'!O138</f>
        <v>1402951.04</v>
      </c>
    </row>
    <row r="139">
      <c r="A139" s="34">
        <v>46539.0</v>
      </c>
      <c r="B139" s="48">
        <f>B138+'Página8'!B139</f>
        <v>6103887.05</v>
      </c>
      <c r="C139" s="48">
        <f>C138+'Página8'!C139</f>
        <v>5659909.25</v>
      </c>
      <c r="D139" s="48">
        <f>D138+'Página8'!D139</f>
        <v>4879205.04</v>
      </c>
      <c r="E139" s="48">
        <f>E138+'Página8'!E139</f>
        <v>4787097.46</v>
      </c>
      <c r="F139" s="48">
        <f>F138+'Página8'!F139</f>
        <v>2855960.06</v>
      </c>
      <c r="G139" s="48">
        <f>G138+'Página8'!G139</f>
        <v>4342888.39</v>
      </c>
      <c r="H139" s="48">
        <f>H138+'Página8'!H139</f>
        <v>1988989.39</v>
      </c>
      <c r="I139" s="48">
        <f>I138+'Página8'!I139</f>
        <v>3908579.98</v>
      </c>
      <c r="J139" s="48">
        <f>J138+'Página8'!J139</f>
        <v>3816426.44</v>
      </c>
      <c r="K139" s="48">
        <f>K138+'Página8'!K139</f>
        <v>3165261.92</v>
      </c>
      <c r="L139" s="48">
        <f>L138+'Página8'!L139</f>
        <v>3184264.69</v>
      </c>
      <c r="M139" s="48">
        <f>M138+'Página8'!M139</f>
        <v>1984692.78</v>
      </c>
      <c r="N139" s="48">
        <f>N138+'Página8'!N139</f>
        <v>2840306.3</v>
      </c>
      <c r="O139" s="48">
        <f>O138+'Página8'!O139</f>
        <v>1414616.47</v>
      </c>
    </row>
    <row r="140">
      <c r="A140" s="34">
        <v>46569.0</v>
      </c>
      <c r="B140" s="48">
        <f>B139+'Página8'!B140</f>
        <v>6150253.24</v>
      </c>
      <c r="C140" s="48">
        <f>C139+'Página8'!C140</f>
        <v>5705860.32</v>
      </c>
      <c r="D140" s="48">
        <f>D139+'Página8'!D140</f>
        <v>4920555.04</v>
      </c>
      <c r="E140" s="48">
        <f>E139+'Página8'!E140</f>
        <v>4827570.66</v>
      </c>
      <c r="F140" s="48">
        <f>F139+'Página8'!F140</f>
        <v>2880128.3</v>
      </c>
      <c r="G140" s="48">
        <f>G139+'Página8'!G140</f>
        <v>4379582.39</v>
      </c>
      <c r="H140" s="48">
        <f>H139+'Página8'!H140</f>
        <v>2005904.09</v>
      </c>
      <c r="I140" s="48">
        <f>I139+'Página8'!I140</f>
        <v>3937540.8</v>
      </c>
      <c r="J140" s="48">
        <f>J139+'Página8'!J140</f>
        <v>3847373.65</v>
      </c>
      <c r="K140" s="48">
        <f>K139+'Página8'!K140</f>
        <v>3191276.98</v>
      </c>
      <c r="L140" s="48">
        <f>L139+'Página8'!L140</f>
        <v>3211240.46</v>
      </c>
      <c r="M140" s="48">
        <f>M139+'Página8'!M140</f>
        <v>2001503.22</v>
      </c>
      <c r="N140" s="48">
        <f>N139+'Página8'!N140</f>
        <v>2863587.12</v>
      </c>
      <c r="O140" s="48">
        <f>O139+'Página8'!O140</f>
        <v>1426281.9</v>
      </c>
    </row>
    <row r="141">
      <c r="A141" s="34">
        <v>46600.0</v>
      </c>
      <c r="B141" s="48">
        <f>B140+'Página8'!B141</f>
        <v>6196619.43</v>
      </c>
      <c r="C141" s="48">
        <f>C140+'Página8'!C141</f>
        <v>5751811.39</v>
      </c>
      <c r="D141" s="48">
        <f>D140+'Página8'!D141</f>
        <v>4961905.04</v>
      </c>
      <c r="E141" s="48">
        <f>E140+'Página8'!E141</f>
        <v>4868043.86</v>
      </c>
      <c r="F141" s="48">
        <f>F140+'Página8'!F141</f>
        <v>2904296.54</v>
      </c>
      <c r="G141" s="48">
        <f>G140+'Página8'!G141</f>
        <v>4416276.39</v>
      </c>
      <c r="H141" s="48">
        <f>H140+'Página8'!H141</f>
        <v>2022818.79</v>
      </c>
      <c r="I141" s="48">
        <f>I140+'Página8'!I141</f>
        <v>3966501.62</v>
      </c>
      <c r="J141" s="48">
        <f>J140+'Página8'!J141</f>
        <v>3878320.86</v>
      </c>
      <c r="K141" s="48">
        <f>K140+'Página8'!K141</f>
        <v>3217292.04</v>
      </c>
      <c r="L141" s="48">
        <f>L140+'Página8'!L141</f>
        <v>3238216.23</v>
      </c>
      <c r="M141" s="48">
        <f>M140+'Página8'!M141</f>
        <v>2018313.66</v>
      </c>
      <c r="N141" s="48">
        <f>N140+'Página8'!N141</f>
        <v>2886867.94</v>
      </c>
      <c r="O141" s="48">
        <f>O140+'Página8'!O141</f>
        <v>1437947.33</v>
      </c>
    </row>
    <row r="142">
      <c r="A142" s="34">
        <v>46631.0</v>
      </c>
      <c r="B142" s="48">
        <f>B141+'Página8'!B142</f>
        <v>6242985.62</v>
      </c>
      <c r="C142" s="48">
        <f>C141+'Página8'!C142</f>
        <v>5797762.46</v>
      </c>
      <c r="D142" s="48">
        <f>D141+'Página8'!D142</f>
        <v>5003255.04</v>
      </c>
      <c r="E142" s="48">
        <f>E141+'Página8'!E142</f>
        <v>4908517.06</v>
      </c>
      <c r="F142" s="48">
        <f>F141+'Página8'!F142</f>
        <v>2928464.78</v>
      </c>
      <c r="G142" s="48">
        <f>G141+'Página8'!G142</f>
        <v>4452970.39</v>
      </c>
      <c r="H142" s="48">
        <f>H141+'Página8'!H142</f>
        <v>2039733.49</v>
      </c>
      <c r="I142" s="48">
        <f>I141+'Página8'!I142</f>
        <v>3995462.44</v>
      </c>
      <c r="J142" s="48">
        <f>J141+'Página8'!J142</f>
        <v>3909268.07</v>
      </c>
      <c r="K142" s="48">
        <f>K141+'Página8'!K142</f>
        <v>3243307.1</v>
      </c>
      <c r="L142" s="48">
        <f>L141+'Página8'!L142</f>
        <v>3265192</v>
      </c>
      <c r="M142" s="48">
        <f>M141+'Página8'!M142</f>
        <v>2035124.1</v>
      </c>
      <c r="N142" s="48">
        <f>N141+'Página8'!N142</f>
        <v>2910148.76</v>
      </c>
      <c r="O142" s="48">
        <f>O141+'Página8'!O142</f>
        <v>1449612.76</v>
      </c>
    </row>
    <row r="143">
      <c r="A143" s="34">
        <v>46661.0</v>
      </c>
      <c r="B143" s="48">
        <f>B142+'Página8'!B143</f>
        <v>6289351.81</v>
      </c>
      <c r="C143" s="48">
        <f>C142+'Página8'!C143</f>
        <v>5843713.53</v>
      </c>
      <c r="D143" s="48">
        <f>D142+'Página8'!D143</f>
        <v>5044605.04</v>
      </c>
      <c r="E143" s="48">
        <f>E142+'Página8'!E143</f>
        <v>4948990.26</v>
      </c>
      <c r="F143" s="48">
        <f>F142+'Página8'!F143</f>
        <v>2952633.02</v>
      </c>
      <c r="G143" s="48">
        <f>G142+'Página8'!G143</f>
        <v>4489664.39</v>
      </c>
      <c r="H143" s="48">
        <f>H142+'Página8'!H143</f>
        <v>2056648.19</v>
      </c>
      <c r="I143" s="48">
        <f>I142+'Página8'!I143</f>
        <v>4024423.26</v>
      </c>
      <c r="J143" s="48">
        <f>J142+'Página8'!J143</f>
        <v>3940215.28</v>
      </c>
      <c r="K143" s="48">
        <f>K142+'Página8'!K143</f>
        <v>3269322.16</v>
      </c>
      <c r="L143" s="48">
        <f>L142+'Página8'!L143</f>
        <v>3292167.77</v>
      </c>
      <c r="M143" s="48">
        <f>M142+'Página8'!M143</f>
        <v>2051934.54</v>
      </c>
      <c r="N143" s="48">
        <f>N142+'Página8'!N143</f>
        <v>2933429.58</v>
      </c>
      <c r="O143" s="48">
        <f>O142+'Página8'!O143</f>
        <v>1461278.19</v>
      </c>
    </row>
    <row r="144">
      <c r="A144" s="34">
        <v>46692.0</v>
      </c>
      <c r="B144" s="48">
        <f>B143+'Página8'!B144</f>
        <v>6335718</v>
      </c>
      <c r="C144" s="48">
        <f>C143+'Página8'!C144</f>
        <v>5889664.6</v>
      </c>
      <c r="D144" s="48">
        <f>D143+'Página8'!D144</f>
        <v>5085955.04</v>
      </c>
      <c r="E144" s="48">
        <f>E143+'Página8'!E144</f>
        <v>4989463.46</v>
      </c>
      <c r="F144" s="48">
        <f>F143+'Página8'!F144</f>
        <v>2976801.26</v>
      </c>
      <c r="G144" s="48">
        <f>G143+'Página8'!G144</f>
        <v>4526358.39</v>
      </c>
      <c r="H144" s="48">
        <f>H143+'Página8'!H144</f>
        <v>2073562.89</v>
      </c>
      <c r="I144" s="48">
        <f>I143+'Página8'!I144</f>
        <v>4053384.08</v>
      </c>
      <c r="J144" s="48">
        <f>J143+'Página8'!J144</f>
        <v>3971162.49</v>
      </c>
      <c r="K144" s="48">
        <f>K143+'Página8'!K144</f>
        <v>3295337.22</v>
      </c>
      <c r="L144" s="48">
        <f>L143+'Página8'!L144</f>
        <v>3319143.54</v>
      </c>
      <c r="M144" s="48">
        <f>M143+'Página8'!M144</f>
        <v>2068744.98</v>
      </c>
      <c r="N144" s="48">
        <f>N143+'Página8'!N144</f>
        <v>2956710.4</v>
      </c>
      <c r="O144" s="48">
        <f>O143+'Página8'!O144</f>
        <v>1472943.62</v>
      </c>
    </row>
    <row r="145">
      <c r="A145" s="34">
        <v>46722.0</v>
      </c>
      <c r="B145" s="48">
        <f>B144+'Página8'!B145</f>
        <v>6443890.32</v>
      </c>
      <c r="C145" s="48">
        <f>C144+'Página8'!C145</f>
        <v>5996868.45</v>
      </c>
      <c r="D145" s="48">
        <f>D144+'Página8'!D145</f>
        <v>5182424.59</v>
      </c>
      <c r="E145" s="48">
        <f>E144+'Página8'!E145</f>
        <v>5083887.44</v>
      </c>
      <c r="F145" s="48">
        <f>F144+'Página8'!F145</f>
        <v>3033185.76</v>
      </c>
      <c r="G145" s="48">
        <f>G144+'Página8'!G145</f>
        <v>4611965.49</v>
      </c>
      <c r="H145" s="48">
        <f>H144+'Página8'!H145</f>
        <v>2113024.89</v>
      </c>
      <c r="I145" s="48">
        <f>I144+'Página8'!I145</f>
        <v>4120949.66</v>
      </c>
      <c r="J145" s="48">
        <f>J144+'Página8'!J145</f>
        <v>4043362.34</v>
      </c>
      <c r="K145" s="48">
        <f>K144+'Página8'!K145</f>
        <v>3356030.36</v>
      </c>
      <c r="L145" s="48">
        <f>L144+'Página8'!L145</f>
        <v>3382078.01</v>
      </c>
      <c r="M145" s="48">
        <f>M144+'Página8'!M145</f>
        <v>2107963.74</v>
      </c>
      <c r="N145" s="48">
        <f>N144+'Página8'!N145</f>
        <v>3011024.56</v>
      </c>
      <c r="O145" s="48">
        <f>O144+'Página8'!O145</f>
        <v>1500159.07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25"/>
    <col customWidth="1" min="2" max="3" width="11.38"/>
    <col customWidth="1" min="4" max="27" width="12.63"/>
    <col customWidth="1" min="28" max="145" width="14.63"/>
  </cols>
  <sheetData>
    <row r="1">
      <c r="A1" s="32" t="s">
        <v>9</v>
      </c>
      <c r="B1" s="34">
        <v>42370.0</v>
      </c>
      <c r="C1" s="34">
        <v>42401.0</v>
      </c>
      <c r="D1" s="34">
        <v>42430.0</v>
      </c>
      <c r="E1" s="34">
        <v>42461.0</v>
      </c>
      <c r="F1" s="34">
        <v>42491.0</v>
      </c>
      <c r="G1" s="34">
        <v>42522.0</v>
      </c>
      <c r="H1" s="34">
        <v>42552.0</v>
      </c>
      <c r="I1" s="34">
        <v>42583.0</v>
      </c>
      <c r="J1" s="34">
        <v>42614.0</v>
      </c>
      <c r="K1" s="34">
        <v>42644.0</v>
      </c>
      <c r="L1" s="34">
        <v>42675.0</v>
      </c>
      <c r="M1" s="34">
        <v>42705.0</v>
      </c>
      <c r="N1" s="34">
        <v>42736.0</v>
      </c>
      <c r="O1" s="34">
        <v>42767.0</v>
      </c>
      <c r="P1" s="34">
        <v>42795.0</v>
      </c>
      <c r="Q1" s="34">
        <v>42826.0</v>
      </c>
      <c r="R1" s="34">
        <v>42856.0</v>
      </c>
      <c r="S1" s="34">
        <v>42887.0</v>
      </c>
      <c r="T1" s="34">
        <v>42917.0</v>
      </c>
      <c r="U1" s="34">
        <v>42948.0</v>
      </c>
      <c r="V1" s="34">
        <v>42979.0</v>
      </c>
      <c r="W1" s="34">
        <v>43009.0</v>
      </c>
      <c r="X1" s="34">
        <v>43040.0</v>
      </c>
      <c r="Y1" s="34">
        <v>43070.0</v>
      </c>
      <c r="Z1" s="34">
        <v>43101.0</v>
      </c>
      <c r="AA1" s="34">
        <v>43132.0</v>
      </c>
      <c r="AB1" s="34">
        <v>43160.0</v>
      </c>
      <c r="AC1" s="34">
        <v>43191.0</v>
      </c>
      <c r="AD1" s="34">
        <v>43221.0</v>
      </c>
      <c r="AE1" s="34">
        <v>43252.0</v>
      </c>
      <c r="AF1" s="34">
        <v>43282.0</v>
      </c>
      <c r="AG1" s="34">
        <v>43313.0</v>
      </c>
      <c r="AH1" s="34">
        <v>43344.0</v>
      </c>
      <c r="AI1" s="34">
        <v>43374.0</v>
      </c>
      <c r="AJ1" s="34">
        <v>43405.0</v>
      </c>
      <c r="AK1" s="34">
        <v>43435.0</v>
      </c>
      <c r="AL1" s="34">
        <v>43466.0</v>
      </c>
      <c r="AM1" s="34">
        <v>43497.0</v>
      </c>
      <c r="AN1" s="34">
        <v>43525.0</v>
      </c>
      <c r="AO1" s="34">
        <v>43556.0</v>
      </c>
      <c r="AP1" s="34">
        <v>43586.0</v>
      </c>
      <c r="AQ1" s="34">
        <v>43617.0</v>
      </c>
      <c r="AR1" s="34">
        <v>43647.0</v>
      </c>
      <c r="AS1" s="34">
        <v>43678.0</v>
      </c>
      <c r="AT1" s="34">
        <v>43709.0</v>
      </c>
      <c r="AU1" s="34">
        <v>43739.0</v>
      </c>
      <c r="AV1" s="34">
        <v>43770.0</v>
      </c>
      <c r="AW1" s="34">
        <v>43800.0</v>
      </c>
      <c r="AX1" s="34">
        <v>43831.0</v>
      </c>
      <c r="AY1" s="34">
        <v>43862.0</v>
      </c>
      <c r="AZ1" s="34">
        <v>43891.0</v>
      </c>
      <c r="BA1" s="34">
        <v>43922.0</v>
      </c>
      <c r="BB1" s="34">
        <v>43952.0</v>
      </c>
      <c r="BC1" s="34">
        <v>43983.0</v>
      </c>
      <c r="BD1" s="34">
        <v>44013.0</v>
      </c>
      <c r="BE1" s="34">
        <v>44044.0</v>
      </c>
      <c r="BF1" s="34">
        <v>44075.0</v>
      </c>
      <c r="BG1" s="34">
        <v>44105.0</v>
      </c>
      <c r="BH1" s="34">
        <v>44136.0</v>
      </c>
      <c r="BI1" s="34">
        <v>44166.0</v>
      </c>
      <c r="BJ1" s="34">
        <v>44197.0</v>
      </c>
      <c r="BK1" s="34">
        <v>44228.0</v>
      </c>
      <c r="BL1" s="34">
        <v>44256.0</v>
      </c>
      <c r="BM1" s="34">
        <v>44287.0</v>
      </c>
      <c r="BN1" s="34">
        <v>44317.0</v>
      </c>
      <c r="BO1" s="34">
        <v>44348.0</v>
      </c>
      <c r="BP1" s="34">
        <v>44378.0</v>
      </c>
      <c r="BQ1" s="34">
        <v>44409.0</v>
      </c>
      <c r="BR1" s="34">
        <v>44440.0</v>
      </c>
      <c r="BS1" s="34">
        <v>44470.0</v>
      </c>
      <c r="BT1" s="34">
        <v>44501.0</v>
      </c>
      <c r="BU1" s="34">
        <v>44531.0</v>
      </c>
      <c r="BV1" s="34">
        <v>44562.0</v>
      </c>
      <c r="BW1" s="34">
        <v>44593.0</v>
      </c>
      <c r="BX1" s="34">
        <v>44621.0</v>
      </c>
      <c r="BY1" s="34">
        <v>44652.0</v>
      </c>
      <c r="BZ1" s="34">
        <v>44682.0</v>
      </c>
      <c r="CA1" s="34">
        <v>44713.0</v>
      </c>
      <c r="CB1" s="34">
        <v>44743.0</v>
      </c>
      <c r="CC1" s="34">
        <v>44774.0</v>
      </c>
      <c r="CD1" s="34">
        <v>44805.0</v>
      </c>
      <c r="CE1" s="34">
        <v>44835.0</v>
      </c>
      <c r="CF1" s="34">
        <v>44866.0</v>
      </c>
      <c r="CG1" s="34">
        <v>44896.0</v>
      </c>
      <c r="CH1" s="34">
        <v>44927.0</v>
      </c>
      <c r="CI1" s="34">
        <v>44958.0</v>
      </c>
      <c r="CJ1" s="34">
        <v>44986.0</v>
      </c>
      <c r="CK1" s="34">
        <v>45017.0</v>
      </c>
      <c r="CL1" s="34">
        <v>45047.0</v>
      </c>
      <c r="CM1" s="34">
        <v>45078.0</v>
      </c>
      <c r="CN1" s="34">
        <v>45108.0</v>
      </c>
      <c r="CO1" s="34">
        <v>45139.0</v>
      </c>
      <c r="CP1" s="34">
        <v>45170.0</v>
      </c>
      <c r="CQ1" s="34">
        <v>45200.0</v>
      </c>
      <c r="CR1" s="34">
        <v>45231.0</v>
      </c>
      <c r="CS1" s="34">
        <v>45261.0</v>
      </c>
      <c r="CT1" s="34">
        <v>45292.0</v>
      </c>
      <c r="CU1" s="34">
        <v>45323.0</v>
      </c>
      <c r="CV1" s="34">
        <v>45352.0</v>
      </c>
      <c r="CW1" s="34">
        <v>45383.0</v>
      </c>
      <c r="CX1" s="34">
        <v>45413.0</v>
      </c>
      <c r="CY1" s="34">
        <v>45444.0</v>
      </c>
      <c r="CZ1" s="34">
        <v>45474.0</v>
      </c>
      <c r="DA1" s="34">
        <v>45505.0</v>
      </c>
      <c r="DB1" s="34">
        <v>45536.0</v>
      </c>
      <c r="DC1" s="34">
        <v>45566.0</v>
      </c>
      <c r="DD1" s="34">
        <v>45597.0</v>
      </c>
      <c r="DE1" s="34">
        <v>45627.0</v>
      </c>
      <c r="DF1" s="34">
        <v>45658.0</v>
      </c>
      <c r="DG1" s="34">
        <v>45689.0</v>
      </c>
      <c r="DH1" s="34">
        <v>45717.0</v>
      </c>
      <c r="DI1" s="34">
        <v>45748.0</v>
      </c>
      <c r="DJ1" s="34">
        <v>45778.0</v>
      </c>
      <c r="DK1" s="34">
        <v>45809.0</v>
      </c>
      <c r="DL1" s="34">
        <v>45839.0</v>
      </c>
      <c r="DM1" s="34">
        <v>45870.0</v>
      </c>
      <c r="DN1" s="34">
        <v>45901.0</v>
      </c>
      <c r="DO1" s="34">
        <v>45931.0</v>
      </c>
      <c r="DP1" s="34">
        <v>45962.0</v>
      </c>
      <c r="DQ1" s="34">
        <v>45992.0</v>
      </c>
      <c r="DR1" s="34">
        <v>46023.0</v>
      </c>
      <c r="DS1" s="34">
        <v>46054.0</v>
      </c>
      <c r="DT1" s="34">
        <v>46082.0</v>
      </c>
      <c r="DU1" s="34">
        <v>46113.0</v>
      </c>
      <c r="DV1" s="34">
        <v>46143.0</v>
      </c>
      <c r="DW1" s="34">
        <v>46174.0</v>
      </c>
      <c r="DX1" s="34">
        <v>46204.0</v>
      </c>
      <c r="DY1" s="34">
        <v>46235.0</v>
      </c>
      <c r="DZ1" s="34">
        <v>46266.0</v>
      </c>
      <c r="EA1" s="34">
        <v>46296.0</v>
      </c>
      <c r="EB1" s="34">
        <v>46327.0</v>
      </c>
      <c r="EC1" s="34">
        <v>46357.0</v>
      </c>
      <c r="ED1" s="34">
        <v>46388.0</v>
      </c>
      <c r="EE1" s="34">
        <v>46419.0</v>
      </c>
      <c r="EF1" s="34">
        <v>46447.0</v>
      </c>
      <c r="EG1" s="34">
        <v>46478.0</v>
      </c>
      <c r="EH1" s="34">
        <v>46508.0</v>
      </c>
      <c r="EI1" s="34">
        <v>46539.0</v>
      </c>
      <c r="EJ1" s="34">
        <v>46569.0</v>
      </c>
      <c r="EK1" s="34">
        <v>46600.0</v>
      </c>
      <c r="EL1" s="34">
        <v>46631.0</v>
      </c>
      <c r="EM1" s="34">
        <v>46661.0</v>
      </c>
      <c r="EN1" s="34">
        <v>46692.0</v>
      </c>
      <c r="EO1" s="34">
        <v>46722.0</v>
      </c>
    </row>
    <row r="2">
      <c r="A2" s="68" t="s">
        <v>39</v>
      </c>
      <c r="B2" s="48">
        <v>33763.0</v>
      </c>
      <c r="C2" s="48">
        <v>67526.0</v>
      </c>
      <c r="D2" s="48">
        <v>101289.0</v>
      </c>
      <c r="E2" s="48">
        <v>135052.0</v>
      </c>
      <c r="F2" s="48">
        <v>168815.0</v>
      </c>
      <c r="G2" s="48">
        <v>202578.0</v>
      </c>
      <c r="H2" s="48">
        <v>236341.0</v>
      </c>
      <c r="I2" s="48">
        <v>270104.0</v>
      </c>
      <c r="J2" s="48">
        <v>303867.0</v>
      </c>
      <c r="K2" s="48">
        <v>337630.0</v>
      </c>
      <c r="L2" s="48">
        <v>371393.0</v>
      </c>
      <c r="M2" s="48">
        <v>450162.08</v>
      </c>
      <c r="N2" s="48">
        <v>483925.08</v>
      </c>
      <c r="O2" s="48">
        <v>517688.08</v>
      </c>
      <c r="P2" s="48">
        <v>551451.0800000001</v>
      </c>
      <c r="Q2" s="48">
        <v>585214.0800000001</v>
      </c>
      <c r="R2" s="48">
        <v>618977.0800000001</v>
      </c>
      <c r="S2" s="48">
        <v>652740.0800000001</v>
      </c>
      <c r="T2" s="48">
        <v>686503.0800000001</v>
      </c>
      <c r="U2" s="48">
        <v>720266.0800000001</v>
      </c>
      <c r="V2" s="48">
        <v>754029.0800000001</v>
      </c>
      <c r="W2" s="48">
        <v>787792.0800000001</v>
      </c>
      <c r="X2" s="48">
        <v>821555.0800000001</v>
      </c>
      <c r="Y2" s="48">
        <v>900324.16</v>
      </c>
      <c r="Z2" s="48">
        <v>934087.16</v>
      </c>
      <c r="AA2" s="48">
        <v>967850.16</v>
      </c>
      <c r="AB2" s="48">
        <v>1001613.16</v>
      </c>
      <c r="AC2" s="48">
        <v>1035376.16</v>
      </c>
      <c r="AD2" s="48">
        <v>1069139.1600000001</v>
      </c>
      <c r="AE2" s="48">
        <v>1102902.1600000001</v>
      </c>
      <c r="AF2" s="48">
        <v>1136665.1600000001</v>
      </c>
      <c r="AG2" s="48">
        <v>1170428.1600000001</v>
      </c>
      <c r="AH2" s="48">
        <v>1204191.1600000001</v>
      </c>
      <c r="AI2" s="48">
        <v>1237954.1600000001</v>
      </c>
      <c r="AJ2" s="48">
        <v>1271717.1600000001</v>
      </c>
      <c r="AK2" s="48">
        <v>1363388.4800000002</v>
      </c>
      <c r="AL2" s="48">
        <v>1402681.8000000003</v>
      </c>
      <c r="AM2" s="48">
        <v>1441975.1200000003</v>
      </c>
      <c r="AN2" s="48">
        <v>1481268.4400000004</v>
      </c>
      <c r="AO2" s="48">
        <v>1520561.7600000005</v>
      </c>
      <c r="AP2" s="48">
        <v>1559855.0800000005</v>
      </c>
      <c r="AQ2" s="48">
        <v>1599148.4000000006</v>
      </c>
      <c r="AR2" s="48">
        <v>1638441.7200000007</v>
      </c>
      <c r="AS2" s="48">
        <v>1677735.0400000007</v>
      </c>
      <c r="AT2" s="48">
        <v>1717028.3600000008</v>
      </c>
      <c r="AU2" s="48">
        <v>1756321.6800000009</v>
      </c>
      <c r="AV2" s="48">
        <v>1795615.000000001</v>
      </c>
      <c r="AW2" s="48">
        <v>1887286.320000001</v>
      </c>
      <c r="AX2" s="48">
        <v>1926579.640000001</v>
      </c>
      <c r="AY2" s="48">
        <v>1965872.9600000011</v>
      </c>
      <c r="AZ2" s="48">
        <v>2005166.2800000012</v>
      </c>
      <c r="BA2" s="48">
        <v>2044459.6000000013</v>
      </c>
      <c r="BB2" s="48">
        <v>2083752.9200000013</v>
      </c>
      <c r="BC2" s="48">
        <v>2123046.240000001</v>
      </c>
      <c r="BD2" s="48">
        <v>2162339.560000001</v>
      </c>
      <c r="BE2" s="48">
        <v>2201632.880000001</v>
      </c>
      <c r="BF2" s="48">
        <v>2240926.2000000007</v>
      </c>
      <c r="BG2" s="48">
        <v>2280219.5200000005</v>
      </c>
      <c r="BH2" s="48">
        <v>2319512.8400000003</v>
      </c>
      <c r="BI2" s="48">
        <v>2411184.16</v>
      </c>
      <c r="BJ2" s="48">
        <v>2450477.48</v>
      </c>
      <c r="BK2" s="48">
        <v>2489770.8</v>
      </c>
      <c r="BL2" s="48">
        <v>2529064.1199999996</v>
      </c>
      <c r="BM2" s="48">
        <v>2568357.4399999995</v>
      </c>
      <c r="BN2" s="48">
        <v>2607650.7599999993</v>
      </c>
      <c r="BO2" s="48">
        <v>2646944.079999999</v>
      </c>
      <c r="BP2" s="48">
        <v>2686237.399999999</v>
      </c>
      <c r="BQ2" s="48">
        <v>2725530.719999999</v>
      </c>
      <c r="BR2" s="48">
        <v>2764824.0399999986</v>
      </c>
      <c r="BS2" s="48">
        <v>2804117.3599999985</v>
      </c>
      <c r="BT2" s="48">
        <v>2843410.6799999983</v>
      </c>
      <c r="BU2" s="48">
        <v>2935081.999999998</v>
      </c>
      <c r="BV2" s="48">
        <v>2974375.319999998</v>
      </c>
      <c r="BW2" s="48">
        <v>3013668.639999998</v>
      </c>
      <c r="BX2" s="48">
        <v>3052961.9599999976</v>
      </c>
      <c r="BY2" s="48">
        <v>3092255.2799999975</v>
      </c>
      <c r="BZ2" s="48">
        <v>3131548.5999999973</v>
      </c>
      <c r="CA2" s="48">
        <v>3170841.919999997</v>
      </c>
      <c r="CB2" s="48">
        <v>3210135.239999997</v>
      </c>
      <c r="CC2" s="48">
        <v>3249428.559999997</v>
      </c>
      <c r="CD2" s="69">
        <v>3288721.8799999966</v>
      </c>
      <c r="CE2" s="69">
        <v>3328015.1999999965</v>
      </c>
      <c r="CF2" s="69">
        <v>3367308.5199999963</v>
      </c>
      <c r="CG2" s="69">
        <v>3458979.839999996</v>
      </c>
      <c r="CH2" s="69">
        <v>3498273.159999996</v>
      </c>
      <c r="CI2" s="69">
        <v>3537566.479999996</v>
      </c>
      <c r="CJ2" s="69">
        <v>3576859.7999999956</v>
      </c>
      <c r="CK2" s="69">
        <v>3618510.7199999955</v>
      </c>
      <c r="CL2" s="69">
        <v>3660161.6399999955</v>
      </c>
      <c r="CM2" s="69">
        <v>3701812.5599999954</v>
      </c>
      <c r="CN2" s="69">
        <v>3743463.4799999953</v>
      </c>
      <c r="CO2" s="69">
        <v>3785114.3999999953</v>
      </c>
      <c r="CP2" s="69">
        <v>3826765.319999995</v>
      </c>
      <c r="CQ2" s="69">
        <v>3868416.239999995</v>
      </c>
      <c r="CR2" s="69">
        <v>3910067.159999995</v>
      </c>
      <c r="CS2" s="69">
        <v>4007238.759999995</v>
      </c>
      <c r="CT2" s="69">
        <v>4048889.679999995</v>
      </c>
      <c r="CU2" s="69">
        <v>4092898.199999995</v>
      </c>
      <c r="CV2" s="69">
        <v>4136906.719999995</v>
      </c>
      <c r="CW2" s="69">
        <v>4180915.239999995</v>
      </c>
      <c r="CX2" s="69">
        <v>4224923.759999995</v>
      </c>
      <c r="CY2" s="69">
        <v>4268932.279999995</v>
      </c>
      <c r="CZ2" s="69">
        <v>4312940.799999994</v>
      </c>
      <c r="DA2" s="69">
        <v>4356949.319999994</v>
      </c>
      <c r="DB2" s="69">
        <v>4400957.839999993</v>
      </c>
      <c r="DC2" s="69">
        <v>4444966.359999993</v>
      </c>
      <c r="DD2" s="69">
        <v>4488974.879999992</v>
      </c>
      <c r="DE2" s="69">
        <v>4591646.759999992</v>
      </c>
      <c r="DF2" s="69">
        <v>4635655.279999992</v>
      </c>
      <c r="DG2" s="69">
        <v>4682021.469999992</v>
      </c>
      <c r="DH2" s="69">
        <v>4728387.659999993</v>
      </c>
      <c r="DI2" s="69">
        <v>4774753.849999993</v>
      </c>
      <c r="DJ2" s="69">
        <v>4821120.0399999935</v>
      </c>
      <c r="DK2" s="69">
        <v>4867486.229999994</v>
      </c>
      <c r="DL2" s="69">
        <v>4913852.419999994</v>
      </c>
      <c r="DM2" s="69">
        <v>4960218.609999995</v>
      </c>
      <c r="DN2" s="69">
        <v>5006584.799999995</v>
      </c>
      <c r="DO2" s="69">
        <v>5052950.989999996</v>
      </c>
      <c r="DP2" s="69">
        <v>5099317.179999996</v>
      </c>
      <c r="DQ2" s="69">
        <v>5207489.499999996</v>
      </c>
      <c r="DR2" s="69">
        <v>5253855.689999997</v>
      </c>
      <c r="DS2" s="69">
        <v>5300221.879999997</v>
      </c>
      <c r="DT2" s="69">
        <v>5346588.0699999975</v>
      </c>
      <c r="DU2" s="69">
        <v>5392954.259999998</v>
      </c>
      <c r="DV2" s="69">
        <v>5439320.449999998</v>
      </c>
      <c r="DW2" s="69">
        <v>5485686.639999999</v>
      </c>
      <c r="DX2" s="69">
        <v>5532052.829999999</v>
      </c>
      <c r="DY2" s="69">
        <v>5578419.02</v>
      </c>
      <c r="DZ2" s="69">
        <v>5624785.21</v>
      </c>
      <c r="EA2" s="69">
        <v>5671151.4</v>
      </c>
      <c r="EB2" s="69">
        <v>5717517.590000001</v>
      </c>
      <c r="EC2" s="69">
        <v>5825689.910000001</v>
      </c>
      <c r="ED2" s="69">
        <v>5872056.1000000015</v>
      </c>
      <c r="EE2" s="69">
        <v>5918422.290000002</v>
      </c>
      <c r="EF2" s="69">
        <v>5964788.480000002</v>
      </c>
      <c r="EG2" s="69">
        <v>6011154.670000003</v>
      </c>
      <c r="EH2" s="69">
        <v>6057520.860000003</v>
      </c>
      <c r="EI2" s="69">
        <v>6103887.050000004</v>
      </c>
      <c r="EJ2" s="69">
        <v>6150253.240000004</v>
      </c>
      <c r="EK2" s="69">
        <v>6196619.430000004</v>
      </c>
      <c r="EL2" s="69">
        <v>6242985.620000005</v>
      </c>
      <c r="EM2" s="69">
        <v>6289351.810000005</v>
      </c>
      <c r="EN2" s="69">
        <v>6335718.000000006</v>
      </c>
      <c r="EO2" s="69">
        <v>6443890.320000006</v>
      </c>
    </row>
    <row r="3">
      <c r="A3" s="68" t="s">
        <v>40</v>
      </c>
      <c r="B3" s="48">
        <v>22516.94</v>
      </c>
      <c r="C3" s="48">
        <v>45033.88</v>
      </c>
      <c r="D3" s="48">
        <v>67550.81999999999</v>
      </c>
      <c r="E3" s="48">
        <v>90067.76</v>
      </c>
      <c r="F3" s="48">
        <v>112584.7</v>
      </c>
      <c r="G3" s="48">
        <v>135101.63999999998</v>
      </c>
      <c r="H3" s="48">
        <v>157618.58</v>
      </c>
      <c r="I3" s="48">
        <v>184073.94999999998</v>
      </c>
      <c r="J3" s="48">
        <v>210529.31999999998</v>
      </c>
      <c r="K3" s="48">
        <v>236984.68999999997</v>
      </c>
      <c r="L3" s="48">
        <v>263440.06</v>
      </c>
      <c r="M3" s="48">
        <v>325160.44</v>
      </c>
      <c r="N3" s="48">
        <v>353399.83</v>
      </c>
      <c r="O3" s="48">
        <v>381639.22000000003</v>
      </c>
      <c r="P3" s="48">
        <v>409878.61000000004</v>
      </c>
      <c r="Q3" s="48">
        <v>438118.00000000006</v>
      </c>
      <c r="R3" s="48">
        <v>466357.3900000001</v>
      </c>
      <c r="S3" s="48">
        <v>494596.7800000001</v>
      </c>
      <c r="T3" s="48">
        <v>522836.1700000001</v>
      </c>
      <c r="U3" s="48">
        <v>551075.56</v>
      </c>
      <c r="V3" s="48">
        <v>579314.9500000001</v>
      </c>
      <c r="W3" s="48">
        <v>607554.3400000001</v>
      </c>
      <c r="X3" s="48">
        <v>635793.7300000001</v>
      </c>
      <c r="Y3" s="48">
        <v>701676.2300000001</v>
      </c>
      <c r="Z3" s="48">
        <v>733610.9600000001</v>
      </c>
      <c r="AA3" s="48">
        <v>765545.6900000001</v>
      </c>
      <c r="AB3" s="48">
        <v>797480.42</v>
      </c>
      <c r="AC3" s="48">
        <v>829415.15</v>
      </c>
      <c r="AD3" s="48">
        <v>861349.88</v>
      </c>
      <c r="AE3" s="48">
        <v>893284.61</v>
      </c>
      <c r="AF3" s="48">
        <v>925219.34</v>
      </c>
      <c r="AG3" s="48">
        <v>957154.07</v>
      </c>
      <c r="AH3" s="48">
        <v>989088.7999999999</v>
      </c>
      <c r="AI3" s="48">
        <v>1021023.5299999999</v>
      </c>
      <c r="AJ3" s="48">
        <v>1052958.26</v>
      </c>
      <c r="AK3" s="48">
        <v>1128682.54</v>
      </c>
      <c r="AL3" s="48">
        <v>1162480.96</v>
      </c>
      <c r="AM3" s="48">
        <v>1196279.38</v>
      </c>
      <c r="AN3" s="48">
        <v>1230077.7999999998</v>
      </c>
      <c r="AO3" s="48">
        <v>1263876.2199999997</v>
      </c>
      <c r="AP3" s="48">
        <v>1297674.6399999997</v>
      </c>
      <c r="AQ3" s="48">
        <v>1331473.0599999996</v>
      </c>
      <c r="AR3" s="48">
        <v>1365271.4799999995</v>
      </c>
      <c r="AS3" s="48">
        <v>1399069.8999999994</v>
      </c>
      <c r="AT3" s="48">
        <v>1432868.3199999994</v>
      </c>
      <c r="AU3" s="48">
        <v>1466666.7399999993</v>
      </c>
      <c r="AV3" s="48">
        <v>1500465.1599999992</v>
      </c>
      <c r="AW3" s="48">
        <v>1579316.8699999992</v>
      </c>
      <c r="AX3" s="48">
        <v>1613685.5699999991</v>
      </c>
      <c r="AY3" s="48">
        <v>1648054.269999999</v>
      </c>
      <c r="AZ3" s="48">
        <v>1682684.5999999992</v>
      </c>
      <c r="BA3" s="48">
        <v>1717314.9299999992</v>
      </c>
      <c r="BB3" s="48">
        <v>1751945.2599999993</v>
      </c>
      <c r="BC3" s="48">
        <v>1786575.5899999994</v>
      </c>
      <c r="BD3" s="48">
        <v>1821205.9199999995</v>
      </c>
      <c r="BE3" s="48">
        <v>1855836.2499999995</v>
      </c>
      <c r="BF3" s="48">
        <v>1890466.5799999996</v>
      </c>
      <c r="BG3" s="48">
        <v>1925096.9099999997</v>
      </c>
      <c r="BH3" s="48">
        <v>1959727.2399999998</v>
      </c>
      <c r="BI3" s="48">
        <v>2040519.7999999998</v>
      </c>
      <c r="BJ3" s="48">
        <v>2076458.2799999998</v>
      </c>
      <c r="BK3" s="48">
        <v>2112396.76</v>
      </c>
      <c r="BL3" s="48">
        <v>2148335.2399999998</v>
      </c>
      <c r="BM3" s="48">
        <v>2184273.7199999997</v>
      </c>
      <c r="BN3" s="48">
        <v>2220212.1999999997</v>
      </c>
      <c r="BO3" s="48">
        <v>2256150.6799999997</v>
      </c>
      <c r="BP3" s="48">
        <v>2292089.1599999997</v>
      </c>
      <c r="BQ3" s="48">
        <v>2328027.6399999997</v>
      </c>
      <c r="BR3" s="48">
        <v>2363966.1199999996</v>
      </c>
      <c r="BS3" s="48">
        <v>2399904.5999999996</v>
      </c>
      <c r="BT3" s="48">
        <v>2435843.0799999996</v>
      </c>
      <c r="BU3" s="48">
        <v>2519687.55</v>
      </c>
      <c r="BV3" s="48">
        <v>2558522.1999999997</v>
      </c>
      <c r="BW3" s="48">
        <v>2597356.8499999996</v>
      </c>
      <c r="BX3" s="48">
        <v>2636191.4999999995</v>
      </c>
      <c r="BY3" s="48">
        <v>2675026.1499999994</v>
      </c>
      <c r="BZ3" s="48">
        <v>2713860.7999999993</v>
      </c>
      <c r="CA3" s="48">
        <v>2752695.4499999993</v>
      </c>
      <c r="CB3" s="48">
        <v>2791530.099999999</v>
      </c>
      <c r="CC3" s="48">
        <v>2830364.749999999</v>
      </c>
      <c r="CD3" s="69">
        <v>2869199.399999999</v>
      </c>
      <c r="CE3" s="69">
        <v>2908034.049999999</v>
      </c>
      <c r="CF3" s="69">
        <v>2946868.699999999</v>
      </c>
      <c r="CG3" s="69">
        <v>3037469.939999999</v>
      </c>
      <c r="CH3" s="69">
        <v>3076461.209999999</v>
      </c>
      <c r="CI3" s="69">
        <v>3115454.789999999</v>
      </c>
      <c r="CJ3" s="69">
        <v>3154448.369999999</v>
      </c>
      <c r="CK3" s="69">
        <v>3195498.4299999992</v>
      </c>
      <c r="CL3" s="69">
        <v>3236852.1099999994</v>
      </c>
      <c r="CM3" s="69">
        <v>3278205.7899999996</v>
      </c>
      <c r="CN3" s="69">
        <v>3319559.4699999997</v>
      </c>
      <c r="CO3" s="69">
        <v>3360913.15</v>
      </c>
      <c r="CP3" s="69">
        <v>3402266.83</v>
      </c>
      <c r="CQ3" s="69">
        <v>3443620.5100000002</v>
      </c>
      <c r="CR3" s="69">
        <v>3484974.1900000004</v>
      </c>
      <c r="CS3" s="69">
        <v>3581452.3300000005</v>
      </c>
      <c r="CT3" s="69">
        <v>3622806.0100000007</v>
      </c>
      <c r="CU3" s="69">
        <v>3666458.3500000006</v>
      </c>
      <c r="CV3" s="69">
        <v>3710110.6900000004</v>
      </c>
      <c r="CW3" s="69">
        <v>3753763.0300000003</v>
      </c>
      <c r="CX3" s="69">
        <v>3797415.37</v>
      </c>
      <c r="CY3" s="69">
        <v>3841067.71</v>
      </c>
      <c r="CZ3" s="69">
        <v>3884720.05</v>
      </c>
      <c r="DA3" s="69">
        <v>3928372.3899999997</v>
      </c>
      <c r="DB3" s="69">
        <v>3972024.7299999995</v>
      </c>
      <c r="DC3" s="69">
        <v>4015677.0699999994</v>
      </c>
      <c r="DD3" s="69">
        <v>4059329.409999999</v>
      </c>
      <c r="DE3" s="69">
        <v>4161170.3199999994</v>
      </c>
      <c r="DF3" s="69">
        <v>4204822.659999999</v>
      </c>
      <c r="DG3" s="69">
        <v>4250773.7299999995</v>
      </c>
      <c r="DH3" s="69">
        <v>4296724.8</v>
      </c>
      <c r="DI3" s="69">
        <v>4342675.87</v>
      </c>
      <c r="DJ3" s="69">
        <v>4388626.94</v>
      </c>
      <c r="DK3" s="69">
        <v>4434578.010000001</v>
      </c>
      <c r="DL3" s="69">
        <v>4480529.080000001</v>
      </c>
      <c r="DM3" s="69">
        <v>4526480.150000001</v>
      </c>
      <c r="DN3" s="69">
        <v>4572431.220000002</v>
      </c>
      <c r="DO3" s="69">
        <v>4618382.290000002</v>
      </c>
      <c r="DP3" s="69">
        <v>4664333.360000002</v>
      </c>
      <c r="DQ3" s="69">
        <v>4771537.210000002</v>
      </c>
      <c r="DR3" s="69">
        <v>4817488.280000002</v>
      </c>
      <c r="DS3" s="69">
        <v>4863439.350000002</v>
      </c>
      <c r="DT3" s="69">
        <v>4909390.420000003</v>
      </c>
      <c r="DU3" s="69">
        <v>4955341.490000003</v>
      </c>
      <c r="DV3" s="69">
        <v>5001292.560000003</v>
      </c>
      <c r="DW3" s="69">
        <v>5047243.630000004</v>
      </c>
      <c r="DX3" s="69">
        <v>5093194.700000004</v>
      </c>
      <c r="DY3" s="69">
        <v>5139145.770000004</v>
      </c>
      <c r="DZ3" s="69">
        <v>5185096.8400000045</v>
      </c>
      <c r="EA3" s="69">
        <v>5231047.910000005</v>
      </c>
      <c r="EB3" s="69">
        <v>5276998.980000005</v>
      </c>
      <c r="EC3" s="69">
        <v>5384202.830000005</v>
      </c>
      <c r="ED3" s="69">
        <v>5430153.900000005</v>
      </c>
      <c r="EE3" s="69">
        <v>5476104.970000005</v>
      </c>
      <c r="EF3" s="69">
        <v>5522056.040000006</v>
      </c>
      <c r="EG3" s="69">
        <v>5568007.110000006</v>
      </c>
      <c r="EH3" s="69">
        <v>5613958.180000006</v>
      </c>
      <c r="EI3" s="69">
        <v>5659909.2500000065</v>
      </c>
      <c r="EJ3" s="69">
        <v>5705860.320000007</v>
      </c>
      <c r="EK3" s="69">
        <v>5751811.390000007</v>
      </c>
      <c r="EL3" s="69">
        <v>5797762.460000007</v>
      </c>
      <c r="EM3" s="69">
        <v>5843713.530000008</v>
      </c>
      <c r="EN3" s="69">
        <v>5889664.600000008</v>
      </c>
      <c r="EO3" s="69">
        <v>5996868.450000008</v>
      </c>
    </row>
    <row r="4">
      <c r="A4" s="68" t="s">
        <v>41</v>
      </c>
      <c r="B4" s="48">
        <v>22805.0</v>
      </c>
      <c r="C4" s="48">
        <v>45610.0</v>
      </c>
      <c r="D4" s="48">
        <v>68415.0</v>
      </c>
      <c r="E4" s="48">
        <v>91220.0</v>
      </c>
      <c r="F4" s="48">
        <v>114025.0</v>
      </c>
      <c r="G4" s="48">
        <v>136830.0</v>
      </c>
      <c r="H4" s="48">
        <v>159635.0</v>
      </c>
      <c r="I4" s="48">
        <v>182440.0</v>
      </c>
      <c r="J4" s="48">
        <v>205245.0</v>
      </c>
      <c r="K4" s="48">
        <v>228050.0</v>
      </c>
      <c r="L4" s="48">
        <v>250855.0</v>
      </c>
      <c r="M4" s="48">
        <v>304059.07</v>
      </c>
      <c r="N4" s="48">
        <v>332321.31</v>
      </c>
      <c r="O4" s="48">
        <v>360583.55</v>
      </c>
      <c r="P4" s="48">
        <v>388845.79</v>
      </c>
      <c r="Q4" s="48">
        <v>417108.02999999997</v>
      </c>
      <c r="R4" s="48">
        <v>445370.26999999996</v>
      </c>
      <c r="S4" s="48">
        <v>473632.50999999995</v>
      </c>
      <c r="T4" s="48">
        <v>501894.74999999994</v>
      </c>
      <c r="U4" s="48">
        <v>530156.99</v>
      </c>
      <c r="V4" s="48">
        <v>558419.23</v>
      </c>
      <c r="W4" s="48">
        <v>586681.47</v>
      </c>
      <c r="X4" s="48">
        <v>614943.71</v>
      </c>
      <c r="Y4" s="48">
        <v>680879.52</v>
      </c>
      <c r="Z4" s="48">
        <v>710484.22</v>
      </c>
      <c r="AA4" s="48">
        <v>740088.9199999999</v>
      </c>
      <c r="AB4" s="48">
        <v>769693.6199999999</v>
      </c>
      <c r="AC4" s="48">
        <v>799298.3199999998</v>
      </c>
      <c r="AD4" s="48">
        <v>828903.0199999998</v>
      </c>
      <c r="AE4" s="48">
        <v>858507.7199999997</v>
      </c>
      <c r="AF4" s="48">
        <v>888112.4199999997</v>
      </c>
      <c r="AG4" s="48">
        <v>917717.1199999996</v>
      </c>
      <c r="AH4" s="48">
        <v>947321.8199999996</v>
      </c>
      <c r="AI4" s="48">
        <v>976926.5199999996</v>
      </c>
      <c r="AJ4" s="48">
        <v>1006531.2199999995</v>
      </c>
      <c r="AK4" s="48">
        <v>1075598.9899999995</v>
      </c>
      <c r="AL4" s="48">
        <v>1106535.8999999994</v>
      </c>
      <c r="AM4" s="48">
        <v>1137472.8099999994</v>
      </c>
      <c r="AN4" s="48">
        <v>1168409.7199999993</v>
      </c>
      <c r="AO4" s="48">
        <v>1199346.6299999992</v>
      </c>
      <c r="AP4" s="48">
        <v>1230283.539999999</v>
      </c>
      <c r="AQ4" s="48">
        <v>1261220.449999999</v>
      </c>
      <c r="AR4" s="48">
        <v>1292157.359999999</v>
      </c>
      <c r="AS4" s="48">
        <v>1323094.2699999989</v>
      </c>
      <c r="AT4" s="48">
        <v>1354031.1799999988</v>
      </c>
      <c r="AU4" s="48">
        <v>1384968.0899999987</v>
      </c>
      <c r="AV4" s="48">
        <v>1415904.9999999986</v>
      </c>
      <c r="AW4" s="48">
        <v>1488080.8099999987</v>
      </c>
      <c r="AX4" s="48">
        <v>1519017.7199999986</v>
      </c>
      <c r="AY4" s="48">
        <v>1549954.6299999985</v>
      </c>
      <c r="AZ4" s="48">
        <v>1580891.5399999984</v>
      </c>
      <c r="BA4" s="48">
        <v>1611828.4499999983</v>
      </c>
      <c r="BB4" s="48">
        <v>1642765.3599999982</v>
      </c>
      <c r="BC4" s="48">
        <v>1673702.2699999982</v>
      </c>
      <c r="BD4" s="48">
        <v>1704639.179999998</v>
      </c>
      <c r="BE4" s="48">
        <v>1735576.089999998</v>
      </c>
      <c r="BF4" s="48">
        <v>1766512.999999998</v>
      </c>
      <c r="BG4" s="48">
        <v>1797449.9099999978</v>
      </c>
      <c r="BH4" s="48">
        <v>1828386.8199999977</v>
      </c>
      <c r="BI4" s="48">
        <v>1900562.6299999978</v>
      </c>
      <c r="BJ4" s="48">
        <v>1931499.5399999977</v>
      </c>
      <c r="BK4" s="48">
        <v>1962436.4499999976</v>
      </c>
      <c r="BL4" s="48">
        <v>1993373.3599999975</v>
      </c>
      <c r="BM4" s="48">
        <v>2024310.2699999975</v>
      </c>
      <c r="BN4" s="48">
        <v>2055247.1799999974</v>
      </c>
      <c r="BO4" s="48">
        <v>2086184.0899999973</v>
      </c>
      <c r="BP4" s="48">
        <v>2117120.999999997</v>
      </c>
      <c r="BQ4" s="48">
        <v>2148057.9099999974</v>
      </c>
      <c r="BR4" s="48">
        <v>2178994.8199999975</v>
      </c>
      <c r="BS4" s="48">
        <v>2209931.7299999977</v>
      </c>
      <c r="BT4" s="48">
        <v>2240868.639999998</v>
      </c>
      <c r="BU4" s="48">
        <v>2313044.449999998</v>
      </c>
      <c r="BV4" s="48">
        <v>2343981.359999998</v>
      </c>
      <c r="BW4" s="48">
        <v>2374918.269999998</v>
      </c>
      <c r="BX4" s="48">
        <v>2405855.1799999983</v>
      </c>
      <c r="BY4" s="48">
        <v>2436792.0899999985</v>
      </c>
      <c r="BZ4" s="48">
        <v>2467728.9999999986</v>
      </c>
      <c r="CA4" s="48">
        <v>2498665.9099999988</v>
      </c>
      <c r="CB4" s="48">
        <v>2529602.819999999</v>
      </c>
      <c r="CC4" s="48">
        <v>2560539.729999999</v>
      </c>
      <c r="CD4" s="69">
        <v>2591476.639999999</v>
      </c>
      <c r="CE4" s="69">
        <v>2622413.5499999993</v>
      </c>
      <c r="CF4" s="69">
        <v>2653350.4599999995</v>
      </c>
      <c r="CG4" s="69">
        <v>2725526.2699999996</v>
      </c>
      <c r="CH4" s="69">
        <v>2756463.1799999997</v>
      </c>
      <c r="CI4" s="69">
        <v>2787400.09</v>
      </c>
      <c r="CJ4" s="69">
        <v>2818337.0</v>
      </c>
      <c r="CK4" s="69">
        <v>2849273.91</v>
      </c>
      <c r="CL4" s="69">
        <v>2882995.14</v>
      </c>
      <c r="CM4" s="69">
        <v>2916716.37</v>
      </c>
      <c r="CN4" s="69">
        <v>2950437.6</v>
      </c>
      <c r="CO4" s="69">
        <v>2984158.83</v>
      </c>
      <c r="CP4" s="69">
        <v>3017880.06</v>
      </c>
      <c r="CQ4" s="69">
        <v>3051601.29</v>
      </c>
      <c r="CR4" s="69">
        <v>3085322.52</v>
      </c>
      <c r="CS4" s="69">
        <v>3163994.15</v>
      </c>
      <c r="CT4" s="69">
        <v>3197715.38</v>
      </c>
      <c r="CU4" s="69">
        <v>3231436.61</v>
      </c>
      <c r="CV4" s="69">
        <v>3265157.84</v>
      </c>
      <c r="CW4" s="69">
        <v>3298879.07</v>
      </c>
      <c r="CX4" s="69">
        <v>3332600.3</v>
      </c>
      <c r="CY4" s="69">
        <v>3366321.53</v>
      </c>
      <c r="CZ4" s="69">
        <v>3400042.76</v>
      </c>
      <c r="DA4" s="69">
        <v>3434775.63</v>
      </c>
      <c r="DB4" s="69">
        <v>3469508.5</v>
      </c>
      <c r="DC4" s="69">
        <v>3504241.37</v>
      </c>
      <c r="DD4" s="69">
        <v>3538974.24</v>
      </c>
      <c r="DE4" s="69">
        <v>3620006.0300000003</v>
      </c>
      <c r="DF4" s="69">
        <v>3654738.9000000004</v>
      </c>
      <c r="DG4" s="69">
        <v>3689471.7700000005</v>
      </c>
      <c r="DH4" s="69">
        <v>3724204.6400000006</v>
      </c>
      <c r="DI4" s="69">
        <v>3758937.5100000007</v>
      </c>
      <c r="DJ4" s="69">
        <v>3795407.0200000005</v>
      </c>
      <c r="DK4" s="69">
        <v>3831876.5300000003</v>
      </c>
      <c r="DL4" s="69">
        <v>3868346.04</v>
      </c>
      <c r="DM4" s="69">
        <v>3904815.55</v>
      </c>
      <c r="DN4" s="69">
        <v>3941285.0599999996</v>
      </c>
      <c r="DO4" s="69">
        <v>3977754.5699999994</v>
      </c>
      <c r="DP4" s="69">
        <v>4014224.079999999</v>
      </c>
      <c r="DQ4" s="69">
        <v>4099307.4499999993</v>
      </c>
      <c r="DR4" s="69">
        <v>4135776.959999999</v>
      </c>
      <c r="DS4" s="69">
        <v>4172246.469999999</v>
      </c>
      <c r="DT4" s="69">
        <v>4208715.979999999</v>
      </c>
      <c r="DU4" s="69">
        <v>4245185.489999998</v>
      </c>
      <c r="DV4" s="69">
        <v>4286535.489999998</v>
      </c>
      <c r="DW4" s="69">
        <v>4327885.489999998</v>
      </c>
      <c r="DX4" s="69">
        <v>4369235.489999998</v>
      </c>
      <c r="DY4" s="69">
        <v>4410585.489999998</v>
      </c>
      <c r="DZ4" s="69">
        <v>4451935.489999998</v>
      </c>
      <c r="EA4" s="69">
        <v>4493285.489999998</v>
      </c>
      <c r="EB4" s="69">
        <v>4534635.489999998</v>
      </c>
      <c r="EC4" s="69">
        <v>4631105.039999998</v>
      </c>
      <c r="ED4" s="69">
        <v>4672455.039999998</v>
      </c>
      <c r="EE4" s="69">
        <v>4713805.039999998</v>
      </c>
      <c r="EF4" s="69">
        <v>4755155.039999998</v>
      </c>
      <c r="EG4" s="69">
        <v>4796505.039999998</v>
      </c>
      <c r="EH4" s="69">
        <v>4837855.039999998</v>
      </c>
      <c r="EI4" s="69">
        <v>4879205.039999998</v>
      </c>
      <c r="EJ4" s="69">
        <v>4920555.039999998</v>
      </c>
      <c r="EK4" s="69">
        <v>4961905.039999998</v>
      </c>
      <c r="EL4" s="69">
        <v>5003255.039999998</v>
      </c>
      <c r="EM4" s="69">
        <v>5044605.039999998</v>
      </c>
      <c r="EN4" s="69">
        <v>5085955.039999998</v>
      </c>
      <c r="EO4" s="69">
        <v>5182424.589999998</v>
      </c>
    </row>
    <row r="5">
      <c r="A5" s="68" t="s">
        <v>42</v>
      </c>
      <c r="B5" s="48">
        <v>22516.88</v>
      </c>
      <c r="C5" s="48">
        <v>45033.76</v>
      </c>
      <c r="D5" s="48">
        <v>67550.64</v>
      </c>
      <c r="E5" s="48">
        <v>90067.52</v>
      </c>
      <c r="F5" s="48">
        <v>112584.40000000001</v>
      </c>
      <c r="G5" s="48">
        <v>135101.28</v>
      </c>
      <c r="H5" s="48">
        <v>157618.16</v>
      </c>
      <c r="I5" s="48">
        <v>180135.04</v>
      </c>
      <c r="J5" s="48">
        <v>205351.92</v>
      </c>
      <c r="K5" s="48">
        <v>230568.80000000002</v>
      </c>
      <c r="L5" s="48">
        <v>255785.68000000002</v>
      </c>
      <c r="M5" s="48">
        <v>314616.66000000003</v>
      </c>
      <c r="N5" s="48">
        <v>342259.73000000004</v>
      </c>
      <c r="O5" s="48">
        <v>369902.80000000005</v>
      </c>
      <c r="P5" s="48">
        <v>397545.87000000005</v>
      </c>
      <c r="Q5" s="48">
        <v>425188.94000000006</v>
      </c>
      <c r="R5" s="48">
        <v>452832.01000000007</v>
      </c>
      <c r="S5" s="48">
        <v>480475.0800000001</v>
      </c>
      <c r="T5" s="48">
        <v>508118.1500000001</v>
      </c>
      <c r="U5" s="48">
        <v>535761.2200000001</v>
      </c>
      <c r="V5" s="48">
        <v>563404.29</v>
      </c>
      <c r="W5" s="48">
        <v>591047.36</v>
      </c>
      <c r="X5" s="48">
        <v>618690.4299999999</v>
      </c>
      <c r="Y5" s="48">
        <v>683181.71</v>
      </c>
      <c r="Z5" s="48">
        <v>712009.58</v>
      </c>
      <c r="AA5" s="48">
        <v>740837.45</v>
      </c>
      <c r="AB5" s="48">
        <v>769665.32</v>
      </c>
      <c r="AC5" s="48">
        <v>798493.19</v>
      </c>
      <c r="AD5" s="48">
        <v>827321.0599999999</v>
      </c>
      <c r="AE5" s="48">
        <v>856148.9299999999</v>
      </c>
      <c r="AF5" s="48">
        <v>884976.7999999999</v>
      </c>
      <c r="AG5" s="48">
        <v>913804.6699999999</v>
      </c>
      <c r="AH5" s="48">
        <v>942632.5399999999</v>
      </c>
      <c r="AI5" s="48">
        <v>971460.4099999999</v>
      </c>
      <c r="AJ5" s="48">
        <v>1000288.2799999999</v>
      </c>
      <c r="AK5" s="48">
        <v>1067543.7</v>
      </c>
      <c r="AL5" s="48">
        <v>1097547.32</v>
      </c>
      <c r="AM5" s="48">
        <v>1127550.9400000002</v>
      </c>
      <c r="AN5" s="48">
        <v>1157554.5600000003</v>
      </c>
      <c r="AO5" s="48">
        <v>1187558.1800000004</v>
      </c>
      <c r="AP5" s="48">
        <v>1217561.8000000005</v>
      </c>
      <c r="AQ5" s="48">
        <v>1247565.4200000006</v>
      </c>
      <c r="AR5" s="48">
        <v>1277569.0400000007</v>
      </c>
      <c r="AS5" s="48">
        <v>1307572.6600000008</v>
      </c>
      <c r="AT5" s="48">
        <v>1337576.280000001</v>
      </c>
      <c r="AU5" s="48">
        <v>1367579.900000001</v>
      </c>
      <c r="AV5" s="48">
        <v>1397583.5200000012</v>
      </c>
      <c r="AW5" s="48">
        <v>1467581.9700000011</v>
      </c>
      <c r="AX5" s="48">
        <v>1497585.5900000012</v>
      </c>
      <c r="AY5" s="48">
        <v>1527589.2100000014</v>
      </c>
      <c r="AZ5" s="48">
        <v>1557592.8300000015</v>
      </c>
      <c r="BA5" s="48">
        <v>1587596.4500000016</v>
      </c>
      <c r="BB5" s="48">
        <v>1617600.0700000017</v>
      </c>
      <c r="BC5" s="48">
        <v>1647603.6900000018</v>
      </c>
      <c r="BD5" s="48">
        <v>1677607.310000002</v>
      </c>
      <c r="BE5" s="48">
        <v>1707610.930000002</v>
      </c>
      <c r="BF5" s="48">
        <v>1737614.5500000021</v>
      </c>
      <c r="BG5" s="48">
        <v>1767618.1700000023</v>
      </c>
      <c r="BH5" s="48">
        <v>1797621.7900000024</v>
      </c>
      <c r="BI5" s="48">
        <v>1867620.2400000023</v>
      </c>
      <c r="BJ5" s="48">
        <v>1897623.8600000024</v>
      </c>
      <c r="BK5" s="48">
        <v>1927627.4800000025</v>
      </c>
      <c r="BL5" s="48">
        <v>1957631.1000000027</v>
      </c>
      <c r="BM5" s="48">
        <v>1987634.7200000028</v>
      </c>
      <c r="BN5" s="48">
        <v>2017638.3400000029</v>
      </c>
      <c r="BO5" s="48">
        <v>2047641.960000003</v>
      </c>
      <c r="BP5" s="48">
        <v>2077645.580000003</v>
      </c>
      <c r="BQ5" s="48">
        <v>2107649.200000003</v>
      </c>
      <c r="BR5" s="48">
        <v>2137652.820000003</v>
      </c>
      <c r="BS5" s="48">
        <v>2167656.440000003</v>
      </c>
      <c r="BT5" s="48">
        <v>2197660.0600000033</v>
      </c>
      <c r="BU5" s="48">
        <v>2267658.5100000035</v>
      </c>
      <c r="BV5" s="48">
        <v>2297662.1300000036</v>
      </c>
      <c r="BW5" s="48">
        <v>2327665.7500000037</v>
      </c>
      <c r="BX5" s="48">
        <v>2357669.370000004</v>
      </c>
      <c r="BY5" s="48">
        <v>2387672.990000004</v>
      </c>
      <c r="BZ5" s="48">
        <v>2417676.610000004</v>
      </c>
      <c r="CA5" s="48">
        <v>2447680.230000004</v>
      </c>
      <c r="CB5" s="48">
        <v>2477683.8500000043</v>
      </c>
      <c r="CC5" s="48">
        <v>2507687.4700000044</v>
      </c>
      <c r="CD5" s="69">
        <v>2537691.0900000045</v>
      </c>
      <c r="CE5" s="69">
        <v>2567694.7100000046</v>
      </c>
      <c r="CF5" s="69">
        <v>2597698.3300000047</v>
      </c>
      <c r="CG5" s="69">
        <v>2667696.780000005</v>
      </c>
      <c r="CH5" s="69">
        <v>2697700.400000005</v>
      </c>
      <c r="CI5" s="69">
        <v>2727704.020000005</v>
      </c>
      <c r="CJ5" s="69">
        <v>2757707.6400000053</v>
      </c>
      <c r="CK5" s="69">
        <v>2787711.2600000054</v>
      </c>
      <c r="CL5" s="69">
        <v>2820172.2100000056</v>
      </c>
      <c r="CM5" s="69">
        <v>2852633.1600000057</v>
      </c>
      <c r="CN5" s="69">
        <v>2885094.110000006</v>
      </c>
      <c r="CO5" s="69">
        <v>2917555.060000006</v>
      </c>
      <c r="CP5" s="69">
        <v>2950016.0100000063</v>
      </c>
      <c r="CQ5" s="69">
        <v>2982476.9600000065</v>
      </c>
      <c r="CR5" s="69">
        <v>3014937.9100000067</v>
      </c>
      <c r="CS5" s="69">
        <v>3090669.3100000066</v>
      </c>
      <c r="CT5" s="69">
        <v>3123130.2600000068</v>
      </c>
      <c r="CU5" s="69">
        <v>3156941.210000007</v>
      </c>
      <c r="CV5" s="69">
        <v>3190752.160000007</v>
      </c>
      <c r="CW5" s="69">
        <v>3224563.1100000073</v>
      </c>
      <c r="CX5" s="69">
        <v>3258374.0600000075</v>
      </c>
      <c r="CY5" s="69">
        <v>3292185.0100000077</v>
      </c>
      <c r="CZ5" s="69">
        <v>3325995.960000008</v>
      </c>
      <c r="DA5" s="69">
        <v>3360256.910000008</v>
      </c>
      <c r="DB5" s="69">
        <v>3394517.8600000083</v>
      </c>
      <c r="DC5" s="69">
        <v>3428778.8100000084</v>
      </c>
      <c r="DD5" s="69">
        <v>3463039.7600000086</v>
      </c>
      <c r="DE5" s="69">
        <v>3542970.5600000084</v>
      </c>
      <c r="DF5" s="69">
        <v>3577231.5100000086</v>
      </c>
      <c r="DG5" s="69">
        <v>3613292.460000009</v>
      </c>
      <c r="DH5" s="69">
        <v>3649353.410000009</v>
      </c>
      <c r="DI5" s="69">
        <v>3685414.360000009</v>
      </c>
      <c r="DJ5" s="69">
        <v>3721475.3100000094</v>
      </c>
      <c r="DK5" s="69">
        <v>3757536.2600000096</v>
      </c>
      <c r="DL5" s="69">
        <v>3793597.2100000097</v>
      </c>
      <c r="DM5" s="69">
        <v>3829658.16000001</v>
      </c>
      <c r="DN5" s="69">
        <v>3865719.11000001</v>
      </c>
      <c r="DO5" s="69">
        <v>3901780.0600000103</v>
      </c>
      <c r="DP5" s="69">
        <v>3937841.0100000105</v>
      </c>
      <c r="DQ5" s="69">
        <v>4021971.2100000107</v>
      </c>
      <c r="DR5" s="69">
        <v>4058032.160000011</v>
      </c>
      <c r="DS5" s="69">
        <v>4094093.110000011</v>
      </c>
      <c r="DT5" s="69">
        <v>4130154.060000011</v>
      </c>
      <c r="DU5" s="69">
        <v>4170265.0100000114</v>
      </c>
      <c r="DV5" s="69">
        <v>4210375.960000011</v>
      </c>
      <c r="DW5" s="69">
        <v>4250486.910000011</v>
      </c>
      <c r="DX5" s="69">
        <v>4290597.8600000115</v>
      </c>
      <c r="DY5" s="69">
        <v>4330708.810000012</v>
      </c>
      <c r="DZ5" s="69">
        <v>4370819.760000012</v>
      </c>
      <c r="EA5" s="69">
        <v>4410930.710000012</v>
      </c>
      <c r="EB5" s="69">
        <v>4451041.660000012</v>
      </c>
      <c r="EC5" s="69">
        <v>4544620.510000012</v>
      </c>
      <c r="ED5" s="69">
        <v>4584731.460000012</v>
      </c>
      <c r="EE5" s="69">
        <v>4625204.660000012</v>
      </c>
      <c r="EF5" s="69">
        <v>4665677.860000012</v>
      </c>
      <c r="EG5" s="69">
        <v>4706151.060000013</v>
      </c>
      <c r="EH5" s="69">
        <v>4746624.260000013</v>
      </c>
      <c r="EI5" s="69">
        <v>4787097.460000013</v>
      </c>
      <c r="EJ5" s="69">
        <v>4827570.660000013</v>
      </c>
      <c r="EK5" s="69">
        <v>4868043.860000013</v>
      </c>
      <c r="EL5" s="69">
        <v>4908517.060000014</v>
      </c>
      <c r="EM5" s="69">
        <v>4948990.260000014</v>
      </c>
      <c r="EN5" s="69">
        <v>4989463.460000014</v>
      </c>
      <c r="EO5" s="69">
        <v>5083887.440000014</v>
      </c>
    </row>
    <row r="6">
      <c r="A6" s="68" t="s">
        <v>43</v>
      </c>
      <c r="B6" s="48">
        <v>13422.61</v>
      </c>
      <c r="C6" s="48">
        <v>26845.22</v>
      </c>
      <c r="D6" s="48">
        <v>40267.83</v>
      </c>
      <c r="E6" s="48">
        <v>53690.44</v>
      </c>
      <c r="F6" s="48">
        <v>67113.05</v>
      </c>
      <c r="G6" s="48">
        <v>80535.66</v>
      </c>
      <c r="H6" s="48">
        <v>93958.27</v>
      </c>
      <c r="I6" s="48">
        <v>107380.88</v>
      </c>
      <c r="J6" s="48">
        <v>122423.49</v>
      </c>
      <c r="K6" s="48">
        <v>137466.1</v>
      </c>
      <c r="L6" s="48">
        <v>152508.71000000002</v>
      </c>
      <c r="M6" s="48">
        <v>187603.12000000002</v>
      </c>
      <c r="N6" s="48">
        <v>204092.02000000002</v>
      </c>
      <c r="O6" s="48">
        <v>220580.92</v>
      </c>
      <c r="P6" s="48">
        <v>237069.82</v>
      </c>
      <c r="Q6" s="48">
        <v>253558.72</v>
      </c>
      <c r="R6" s="48">
        <v>270047.62</v>
      </c>
      <c r="S6" s="48">
        <v>286536.52</v>
      </c>
      <c r="T6" s="48">
        <v>303025.42000000004</v>
      </c>
      <c r="U6" s="48">
        <v>319514.32000000007</v>
      </c>
      <c r="V6" s="48">
        <v>336003.2200000001</v>
      </c>
      <c r="W6" s="48">
        <v>352492.1200000001</v>
      </c>
      <c r="X6" s="48">
        <v>368981.02000000014</v>
      </c>
      <c r="Y6" s="48">
        <v>407449.6200000001</v>
      </c>
      <c r="Z6" s="48">
        <v>424644.7900000001</v>
      </c>
      <c r="AA6" s="48">
        <v>441839.9600000001</v>
      </c>
      <c r="AB6" s="48">
        <v>459035.13000000006</v>
      </c>
      <c r="AC6" s="48">
        <v>476230.30000000005</v>
      </c>
      <c r="AD6" s="48">
        <v>493425.47000000003</v>
      </c>
      <c r="AE6" s="48">
        <v>510620.64</v>
      </c>
      <c r="AF6" s="48">
        <v>527815.81</v>
      </c>
      <c r="AG6" s="48">
        <v>545010.9800000001</v>
      </c>
      <c r="AH6" s="48">
        <v>562206.1500000001</v>
      </c>
      <c r="AI6" s="48">
        <v>579401.3200000002</v>
      </c>
      <c r="AJ6" s="48">
        <v>596596.4900000002</v>
      </c>
      <c r="AK6" s="48">
        <v>636712.8200000002</v>
      </c>
      <c r="AL6" s="48">
        <v>654608.8700000002</v>
      </c>
      <c r="AM6" s="48">
        <v>672504.9200000003</v>
      </c>
      <c r="AN6" s="48">
        <v>690400.9700000003</v>
      </c>
      <c r="AO6" s="48">
        <v>708297.0200000004</v>
      </c>
      <c r="AP6" s="48">
        <v>726193.0700000004</v>
      </c>
      <c r="AQ6" s="48">
        <v>744089.1200000005</v>
      </c>
      <c r="AR6" s="48">
        <v>761985.1700000005</v>
      </c>
      <c r="AS6" s="48">
        <v>779881.2200000006</v>
      </c>
      <c r="AT6" s="48">
        <v>797777.2700000006</v>
      </c>
      <c r="AU6" s="48">
        <v>815673.3200000006</v>
      </c>
      <c r="AV6" s="48">
        <v>833569.3700000007</v>
      </c>
      <c r="AW6" s="48">
        <v>875320.8500000007</v>
      </c>
      <c r="AX6" s="48">
        <v>893216.9000000007</v>
      </c>
      <c r="AY6" s="48">
        <v>911112.9500000008</v>
      </c>
      <c r="AZ6" s="48">
        <v>929009.0000000008</v>
      </c>
      <c r="BA6" s="48">
        <v>946905.0500000009</v>
      </c>
      <c r="BB6" s="48">
        <v>964801.1000000009</v>
      </c>
      <c r="BC6" s="48">
        <v>982697.150000001</v>
      </c>
      <c r="BD6" s="48">
        <v>1000593.200000001</v>
      </c>
      <c r="BE6" s="48">
        <v>1018489.250000001</v>
      </c>
      <c r="BF6" s="48">
        <v>1036385.3000000011</v>
      </c>
      <c r="BG6" s="48">
        <v>1054281.350000001</v>
      </c>
      <c r="BH6" s="48">
        <v>1072177.400000001</v>
      </c>
      <c r="BI6" s="48">
        <v>1113928.880000001</v>
      </c>
      <c r="BJ6" s="48">
        <v>1131824.930000001</v>
      </c>
      <c r="BK6" s="48">
        <v>1149720.9800000011</v>
      </c>
      <c r="BL6" s="48">
        <v>1167617.0300000012</v>
      </c>
      <c r="BM6" s="48">
        <v>1185513.0800000012</v>
      </c>
      <c r="BN6" s="48">
        <v>1203409.1300000013</v>
      </c>
      <c r="BO6" s="48">
        <v>1221305.1800000013</v>
      </c>
      <c r="BP6" s="48">
        <v>1239201.2300000014</v>
      </c>
      <c r="BQ6" s="48">
        <v>1257097.2800000014</v>
      </c>
      <c r="BR6" s="48">
        <v>1274993.3300000015</v>
      </c>
      <c r="BS6" s="48">
        <v>1292889.3800000015</v>
      </c>
      <c r="BT6" s="48">
        <v>1310785.4300000016</v>
      </c>
      <c r="BU6" s="48">
        <v>1352536.9100000015</v>
      </c>
      <c r="BV6" s="48">
        <v>1370432.9600000016</v>
      </c>
      <c r="BW6" s="48">
        <v>1388329.0100000016</v>
      </c>
      <c r="BX6" s="48">
        <v>1406225.0600000017</v>
      </c>
      <c r="BY6" s="48">
        <v>1424121.1100000017</v>
      </c>
      <c r="BZ6" s="48">
        <v>1442017.1600000018</v>
      </c>
      <c r="CA6" s="48">
        <v>1459913.2100000018</v>
      </c>
      <c r="CB6" s="48">
        <v>1477809.2600000019</v>
      </c>
      <c r="CC6" s="48">
        <v>1495705.310000002</v>
      </c>
      <c r="CD6" s="69">
        <v>1513601.360000002</v>
      </c>
      <c r="CE6" s="69">
        <v>1531497.410000002</v>
      </c>
      <c r="CF6" s="69">
        <v>1549393.460000002</v>
      </c>
      <c r="CG6" s="69">
        <v>1591144.940000002</v>
      </c>
      <c r="CH6" s="69">
        <v>1609040.990000002</v>
      </c>
      <c r="CI6" s="69">
        <v>1626937.0400000021</v>
      </c>
      <c r="CJ6" s="69">
        <v>1644833.0900000022</v>
      </c>
      <c r="CK6" s="69">
        <v>1662729.1400000022</v>
      </c>
      <c r="CL6" s="69">
        <v>1682090.0300000021</v>
      </c>
      <c r="CM6" s="69">
        <v>1701450.920000002</v>
      </c>
      <c r="CN6" s="69">
        <v>1720811.810000002</v>
      </c>
      <c r="CO6" s="69">
        <v>1740172.7000000018</v>
      </c>
      <c r="CP6" s="69">
        <v>1759533.5900000017</v>
      </c>
      <c r="CQ6" s="69">
        <v>1778894.4800000016</v>
      </c>
      <c r="CR6" s="69">
        <v>1798255.3700000015</v>
      </c>
      <c r="CS6" s="69">
        <v>1843424.3300000015</v>
      </c>
      <c r="CT6" s="69">
        <v>1862785.2200000014</v>
      </c>
      <c r="CU6" s="69">
        <v>1882956.1100000013</v>
      </c>
      <c r="CV6" s="69">
        <v>1903127.0000000012</v>
      </c>
      <c r="CW6" s="69">
        <v>1923297.890000001</v>
      </c>
      <c r="CX6" s="69">
        <v>1943468.780000001</v>
      </c>
      <c r="CY6" s="69">
        <v>1963639.6700000009</v>
      </c>
      <c r="CZ6" s="69">
        <v>1983810.5600000008</v>
      </c>
      <c r="DA6" s="69">
        <v>2004251.4500000007</v>
      </c>
      <c r="DB6" s="69">
        <v>2024692.3400000005</v>
      </c>
      <c r="DC6" s="69">
        <v>2045133.2300000004</v>
      </c>
      <c r="DD6" s="69">
        <v>2065574.1200000003</v>
      </c>
      <c r="DE6" s="69">
        <v>2113262.72</v>
      </c>
      <c r="DF6" s="69">
        <v>2133703.6100000003</v>
      </c>
      <c r="DG6" s="69">
        <v>2155224.5000000005</v>
      </c>
      <c r="DH6" s="69">
        <v>2176745.3900000006</v>
      </c>
      <c r="DI6" s="69">
        <v>2198266.2800000007</v>
      </c>
      <c r="DJ6" s="69">
        <v>2219787.170000001</v>
      </c>
      <c r="DK6" s="69">
        <v>2241308.060000001</v>
      </c>
      <c r="DL6" s="69">
        <v>2262828.950000001</v>
      </c>
      <c r="DM6" s="69">
        <v>2284349.8400000012</v>
      </c>
      <c r="DN6" s="69">
        <v>2305870.7300000014</v>
      </c>
      <c r="DO6" s="69">
        <v>2327391.6200000015</v>
      </c>
      <c r="DP6" s="69">
        <v>2348912.5100000016</v>
      </c>
      <c r="DQ6" s="69">
        <v>2399120.750000002</v>
      </c>
      <c r="DR6" s="69">
        <v>2420641.640000002</v>
      </c>
      <c r="DS6" s="69">
        <v>2442162.530000002</v>
      </c>
      <c r="DT6" s="69">
        <v>2463683.4200000023</v>
      </c>
      <c r="DU6" s="69">
        <v>2487634.3100000024</v>
      </c>
      <c r="DV6" s="69">
        <v>2511585.2000000025</v>
      </c>
      <c r="DW6" s="69">
        <v>2535536.0900000026</v>
      </c>
      <c r="DX6" s="69">
        <v>2559486.980000003</v>
      </c>
      <c r="DY6" s="69">
        <v>2583437.870000003</v>
      </c>
      <c r="DZ6" s="69">
        <v>2607388.760000003</v>
      </c>
      <c r="EA6" s="69">
        <v>2631339.650000003</v>
      </c>
      <c r="EB6" s="69">
        <v>2655290.5400000033</v>
      </c>
      <c r="EC6" s="69">
        <v>2711167.9700000035</v>
      </c>
      <c r="ED6" s="69">
        <v>2735118.8600000036</v>
      </c>
      <c r="EE6" s="69">
        <v>2759287.100000004</v>
      </c>
      <c r="EF6" s="69">
        <v>2783455.340000004</v>
      </c>
      <c r="EG6" s="69">
        <v>2807623.5800000043</v>
      </c>
      <c r="EH6" s="69">
        <v>2831791.8200000045</v>
      </c>
      <c r="EI6" s="69">
        <v>2855960.0600000047</v>
      </c>
      <c r="EJ6" s="69">
        <v>2880128.300000005</v>
      </c>
      <c r="EK6" s="69">
        <v>2904296.540000005</v>
      </c>
      <c r="EL6" s="69">
        <v>2928464.7800000054</v>
      </c>
      <c r="EM6" s="69">
        <v>2952633.0200000056</v>
      </c>
      <c r="EN6" s="69">
        <v>2976801.260000006</v>
      </c>
      <c r="EO6" s="69">
        <v>3033185.760000006</v>
      </c>
    </row>
    <row r="7">
      <c r="A7" s="68" t="s">
        <v>44</v>
      </c>
      <c r="B7" s="48">
        <v>21391.1</v>
      </c>
      <c r="C7" s="48">
        <v>42782.2</v>
      </c>
      <c r="D7" s="48">
        <v>64173.299999999996</v>
      </c>
      <c r="E7" s="48">
        <v>85564.4</v>
      </c>
      <c r="F7" s="48">
        <v>106955.5</v>
      </c>
      <c r="G7" s="48">
        <v>128346.6</v>
      </c>
      <c r="H7" s="48">
        <v>149737.7</v>
      </c>
      <c r="I7" s="48">
        <v>172305.31</v>
      </c>
      <c r="J7" s="48">
        <v>194872.91999999998</v>
      </c>
      <c r="K7" s="48">
        <v>217440.52999999997</v>
      </c>
      <c r="L7" s="48">
        <v>240008.13999999996</v>
      </c>
      <c r="M7" s="48">
        <v>292658.36999999994</v>
      </c>
      <c r="N7" s="48">
        <v>316801.0299999999</v>
      </c>
      <c r="O7" s="48">
        <v>340943.6899999999</v>
      </c>
      <c r="P7" s="48">
        <v>365086.34999999986</v>
      </c>
      <c r="Q7" s="48">
        <v>389229.00999999983</v>
      </c>
      <c r="R7" s="48">
        <v>413371.6699999998</v>
      </c>
      <c r="S7" s="48">
        <v>437514.3299999998</v>
      </c>
      <c r="T7" s="48">
        <v>461656.98999999976</v>
      </c>
      <c r="U7" s="48">
        <v>485799.64999999973</v>
      </c>
      <c r="V7" s="48">
        <v>509942.3099999997</v>
      </c>
      <c r="W7" s="48">
        <v>534084.9699999997</v>
      </c>
      <c r="X7" s="48">
        <v>558227.6299999998</v>
      </c>
      <c r="Y7" s="48">
        <v>614552.4599999997</v>
      </c>
      <c r="Z7" s="48">
        <v>640298.0699999997</v>
      </c>
      <c r="AA7" s="48">
        <v>666043.6799999997</v>
      </c>
      <c r="AB7" s="48">
        <v>691789.2899999997</v>
      </c>
      <c r="AC7" s="48">
        <v>717534.8999999997</v>
      </c>
      <c r="AD7" s="48">
        <v>743280.5099999997</v>
      </c>
      <c r="AE7" s="48">
        <v>769026.1199999996</v>
      </c>
      <c r="AF7" s="48">
        <v>794771.7299999996</v>
      </c>
      <c r="AG7" s="48">
        <v>820517.3399999996</v>
      </c>
      <c r="AH7" s="48">
        <v>846262.9499999996</v>
      </c>
      <c r="AI7" s="48">
        <v>872008.5599999996</v>
      </c>
      <c r="AJ7" s="48">
        <v>897754.1699999996</v>
      </c>
      <c r="AK7" s="48">
        <v>957818.6799999996</v>
      </c>
      <c r="AL7" s="48">
        <v>985188.3499999996</v>
      </c>
      <c r="AM7" s="48">
        <v>1012558.0199999997</v>
      </c>
      <c r="AN7" s="48">
        <v>1039927.6899999997</v>
      </c>
      <c r="AO7" s="48">
        <v>1067297.3599999996</v>
      </c>
      <c r="AP7" s="48">
        <v>1094667.0299999996</v>
      </c>
      <c r="AQ7" s="48">
        <v>1122036.6999999995</v>
      </c>
      <c r="AR7" s="48">
        <v>1149406.3699999994</v>
      </c>
      <c r="AS7" s="48">
        <v>1176776.0399999993</v>
      </c>
      <c r="AT7" s="48">
        <v>1204145.7099999993</v>
      </c>
      <c r="AU7" s="48">
        <v>1231515.3799999992</v>
      </c>
      <c r="AV7" s="48">
        <v>1258885.049999999</v>
      </c>
      <c r="AW7" s="48">
        <v>1322738.489999999</v>
      </c>
      <c r="AX7" s="48">
        <v>1350108.159999999</v>
      </c>
      <c r="AY7" s="48">
        <v>1377477.829999999</v>
      </c>
      <c r="AZ7" s="48">
        <v>1404847.4999999988</v>
      </c>
      <c r="BA7" s="48">
        <v>1432217.1699999988</v>
      </c>
      <c r="BB7" s="48">
        <v>1459586.8399999987</v>
      </c>
      <c r="BC7" s="48">
        <v>1486956.5099999986</v>
      </c>
      <c r="BD7" s="48">
        <v>1514326.1799999985</v>
      </c>
      <c r="BE7" s="48">
        <v>1541695.8499999985</v>
      </c>
      <c r="BF7" s="48">
        <v>1569065.5199999984</v>
      </c>
      <c r="BG7" s="48">
        <v>1596435.1899999983</v>
      </c>
      <c r="BH7" s="48">
        <v>1623804.8599999982</v>
      </c>
      <c r="BI7" s="48">
        <v>1687658.2999999982</v>
      </c>
      <c r="BJ7" s="48">
        <v>1715027.969999998</v>
      </c>
      <c r="BK7" s="48">
        <v>1742397.639999998</v>
      </c>
      <c r="BL7" s="48">
        <v>1769767.309999998</v>
      </c>
      <c r="BM7" s="48">
        <v>1797136.979999998</v>
      </c>
      <c r="BN7" s="48">
        <v>1824506.6499999978</v>
      </c>
      <c r="BO7" s="48">
        <v>1851876.3199999977</v>
      </c>
      <c r="BP7" s="48">
        <v>1879245.9899999977</v>
      </c>
      <c r="BQ7" s="48">
        <v>1906615.6599999976</v>
      </c>
      <c r="BR7" s="48">
        <v>1933985.3299999975</v>
      </c>
      <c r="BS7" s="48">
        <v>1961354.9999999974</v>
      </c>
      <c r="BT7" s="48">
        <v>1988724.6699999974</v>
      </c>
      <c r="BU7" s="48">
        <v>2052578.1099999973</v>
      </c>
      <c r="BV7" s="48">
        <v>2079947.7799999972</v>
      </c>
      <c r="BW7" s="48">
        <v>2107317.4499999974</v>
      </c>
      <c r="BX7" s="48">
        <v>2134687.1199999973</v>
      </c>
      <c r="BY7" s="48">
        <v>2162056.7899999972</v>
      </c>
      <c r="BZ7" s="48">
        <v>2189426.459999997</v>
      </c>
      <c r="CA7" s="48">
        <v>2216796.129999997</v>
      </c>
      <c r="CB7" s="48">
        <v>2244165.799999997</v>
      </c>
      <c r="CC7" s="48">
        <v>2271535.469999997</v>
      </c>
      <c r="CD7" s="69">
        <v>2298905.139999997</v>
      </c>
      <c r="CE7" s="69">
        <v>2326274.809999997</v>
      </c>
      <c r="CF7" s="69">
        <v>2353644.4799999967</v>
      </c>
      <c r="CG7" s="69">
        <v>2417497.9199999967</v>
      </c>
      <c r="CH7" s="69">
        <v>2444867.5899999966</v>
      </c>
      <c r="CI7" s="69">
        <v>2472237.2599999965</v>
      </c>
      <c r="CJ7" s="69">
        <v>2499606.9299999964</v>
      </c>
      <c r="CK7" s="69">
        <v>2526976.5999999964</v>
      </c>
      <c r="CL7" s="69">
        <v>2556809.5399999963</v>
      </c>
      <c r="CM7" s="69">
        <v>2586642.4799999963</v>
      </c>
      <c r="CN7" s="69">
        <v>2616475.419999996</v>
      </c>
      <c r="CO7" s="69">
        <v>2646308.359999996</v>
      </c>
      <c r="CP7" s="69">
        <v>2676141.299999996</v>
      </c>
      <c r="CQ7" s="69">
        <v>2705974.239999996</v>
      </c>
      <c r="CR7" s="69">
        <v>2735807.179999996</v>
      </c>
      <c r="CS7" s="69">
        <v>2805407.429999996</v>
      </c>
      <c r="CT7" s="69">
        <v>2835240.369999996</v>
      </c>
      <c r="CU7" s="69">
        <v>2865073.309999996</v>
      </c>
      <c r="CV7" s="69">
        <v>2894906.249999996</v>
      </c>
      <c r="CW7" s="69">
        <v>2924739.1899999958</v>
      </c>
      <c r="CX7" s="69">
        <v>2954572.1299999957</v>
      </c>
      <c r="CY7" s="69">
        <v>2984405.0699999956</v>
      </c>
      <c r="CZ7" s="69">
        <v>3014238.0099999956</v>
      </c>
      <c r="DA7" s="69">
        <v>3044070.9499999955</v>
      </c>
      <c r="DB7" s="69">
        <v>3073903.8899999955</v>
      </c>
      <c r="DC7" s="69">
        <v>3103736.8299999954</v>
      </c>
      <c r="DD7" s="69">
        <v>3133569.7699999954</v>
      </c>
      <c r="DE7" s="69">
        <v>3203170.0199999954</v>
      </c>
      <c r="DF7" s="69">
        <v>3236256.1199999955</v>
      </c>
      <c r="DG7" s="69">
        <v>3269342.2199999955</v>
      </c>
      <c r="DH7" s="69">
        <v>3302428.3199999956</v>
      </c>
      <c r="DI7" s="69">
        <v>3335514.4199999957</v>
      </c>
      <c r="DJ7" s="69">
        <v>3368600.519999996</v>
      </c>
      <c r="DK7" s="69">
        <v>3401686.619999996</v>
      </c>
      <c r="DL7" s="69">
        <v>3434772.719999996</v>
      </c>
      <c r="DM7" s="69">
        <v>3467858.819999996</v>
      </c>
      <c r="DN7" s="69">
        <v>3500944.919999996</v>
      </c>
      <c r="DO7" s="69">
        <v>3534031.0199999963</v>
      </c>
      <c r="DP7" s="69">
        <v>3567117.1199999964</v>
      </c>
      <c r="DQ7" s="69">
        <v>3644306.9899999965</v>
      </c>
      <c r="DR7" s="69">
        <v>3677393.0899999966</v>
      </c>
      <c r="DS7" s="69">
        <v>3710479.1899999967</v>
      </c>
      <c r="DT7" s="69">
        <v>3743565.289999997</v>
      </c>
      <c r="DU7" s="69">
        <v>3780259.289999997</v>
      </c>
      <c r="DV7" s="69">
        <v>3816953.289999997</v>
      </c>
      <c r="DW7" s="69">
        <v>3853647.289999997</v>
      </c>
      <c r="DX7" s="69">
        <v>3890341.289999997</v>
      </c>
      <c r="DY7" s="69">
        <v>3927035.289999997</v>
      </c>
      <c r="DZ7" s="69">
        <v>3963729.289999997</v>
      </c>
      <c r="EA7" s="69">
        <v>4000423.289999997</v>
      </c>
      <c r="EB7" s="69">
        <v>4037117.289999997</v>
      </c>
      <c r="EC7" s="69">
        <v>4122724.389999997</v>
      </c>
      <c r="ED7" s="69">
        <v>4159418.389999997</v>
      </c>
      <c r="EE7" s="69">
        <v>4196112.389999997</v>
      </c>
      <c r="EF7" s="69">
        <v>4232806.389999997</v>
      </c>
      <c r="EG7" s="69">
        <v>4269500.389999997</v>
      </c>
      <c r="EH7" s="69">
        <v>4306194.389999997</v>
      </c>
      <c r="EI7" s="69">
        <v>4342888.389999997</v>
      </c>
      <c r="EJ7" s="69">
        <v>4379582.389999997</v>
      </c>
      <c r="EK7" s="69">
        <v>4416276.389999997</v>
      </c>
      <c r="EL7" s="69">
        <v>4452970.389999997</v>
      </c>
      <c r="EM7" s="69">
        <v>4489664.389999997</v>
      </c>
      <c r="EN7" s="69">
        <v>4526358.389999997</v>
      </c>
      <c r="EO7" s="69">
        <v>4611965.4899999965</v>
      </c>
    </row>
    <row r="8">
      <c r="A8" s="68" t="s">
        <v>45</v>
      </c>
      <c r="B8" s="48">
        <v>9780.92</v>
      </c>
      <c r="C8" s="48">
        <v>19561.84</v>
      </c>
      <c r="D8" s="48">
        <v>29342.760000000002</v>
      </c>
      <c r="E8" s="48">
        <v>39123.68</v>
      </c>
      <c r="F8" s="48">
        <v>48904.6</v>
      </c>
      <c r="G8" s="48">
        <v>58685.52</v>
      </c>
      <c r="H8" s="48">
        <v>68466.44</v>
      </c>
      <c r="I8" s="48">
        <v>78785.31</v>
      </c>
      <c r="J8" s="48">
        <v>89104.18</v>
      </c>
      <c r="K8" s="48">
        <v>99423.04999999999</v>
      </c>
      <c r="L8" s="48">
        <v>109741.91999999998</v>
      </c>
      <c r="M8" s="48">
        <v>133815.83999999997</v>
      </c>
      <c r="N8" s="48">
        <v>144854.88999999996</v>
      </c>
      <c r="O8" s="48">
        <v>155893.93999999994</v>
      </c>
      <c r="P8" s="48">
        <v>166932.98999999993</v>
      </c>
      <c r="Q8" s="48">
        <v>177972.03999999992</v>
      </c>
      <c r="R8" s="48">
        <v>189011.0899999999</v>
      </c>
      <c r="S8" s="48">
        <v>200050.1399999999</v>
      </c>
      <c r="T8" s="48">
        <v>211089.1899999999</v>
      </c>
      <c r="U8" s="48">
        <v>222128.23999999987</v>
      </c>
      <c r="V8" s="48">
        <v>233167.28999999986</v>
      </c>
      <c r="W8" s="48">
        <v>244206.33999999985</v>
      </c>
      <c r="X8" s="48">
        <v>255245.38999999984</v>
      </c>
      <c r="Y8" s="48">
        <v>280999.4899999998</v>
      </c>
      <c r="Z8" s="48">
        <v>292771.4799999998</v>
      </c>
      <c r="AA8" s="48">
        <v>304543.4699999998</v>
      </c>
      <c r="AB8" s="48">
        <v>316315.4599999998</v>
      </c>
      <c r="AC8" s="48">
        <v>328087.4499999998</v>
      </c>
      <c r="AD8" s="48">
        <v>339859.43999999977</v>
      </c>
      <c r="AE8" s="48">
        <v>351631.42999999976</v>
      </c>
      <c r="AF8" s="48">
        <v>363403.41999999975</v>
      </c>
      <c r="AG8" s="48">
        <v>375175.40999999974</v>
      </c>
      <c r="AH8" s="48">
        <v>386947.39999999973</v>
      </c>
      <c r="AI8" s="48">
        <v>398719.3899999997</v>
      </c>
      <c r="AJ8" s="48">
        <v>410491.3799999997</v>
      </c>
      <c r="AK8" s="48">
        <v>437955.4299999997</v>
      </c>
      <c r="AL8" s="48">
        <v>450470.0099999997</v>
      </c>
      <c r="AM8" s="48">
        <v>462984.58999999973</v>
      </c>
      <c r="AN8" s="48">
        <v>475499.16999999975</v>
      </c>
      <c r="AO8" s="48">
        <v>488013.74999999977</v>
      </c>
      <c r="AP8" s="48">
        <v>500528.3299999998</v>
      </c>
      <c r="AQ8" s="48">
        <v>513042.9099999998</v>
      </c>
      <c r="AR8" s="48">
        <v>525557.4899999998</v>
      </c>
      <c r="AS8" s="48">
        <v>538072.0699999997</v>
      </c>
      <c r="AT8" s="48">
        <v>550586.6499999997</v>
      </c>
      <c r="AU8" s="48">
        <v>563101.2299999996</v>
      </c>
      <c r="AV8" s="48">
        <v>575615.8099999996</v>
      </c>
      <c r="AW8" s="48">
        <v>604812.3299999996</v>
      </c>
      <c r="AX8" s="48">
        <v>617326.9099999996</v>
      </c>
      <c r="AY8" s="48">
        <v>629841.4899999995</v>
      </c>
      <c r="AZ8" s="48">
        <v>642356.0699999995</v>
      </c>
      <c r="BA8" s="48">
        <v>654870.6499999994</v>
      </c>
      <c r="BB8" s="48">
        <v>667385.2299999994</v>
      </c>
      <c r="BC8" s="48">
        <v>679899.8099999994</v>
      </c>
      <c r="BD8" s="48">
        <v>692414.3899999993</v>
      </c>
      <c r="BE8" s="48">
        <v>704928.9699999993</v>
      </c>
      <c r="BF8" s="48">
        <v>717443.5499999992</v>
      </c>
      <c r="BG8" s="48">
        <v>729958.1299999992</v>
      </c>
      <c r="BH8" s="48">
        <v>742472.7099999991</v>
      </c>
      <c r="BI8" s="48">
        <v>771669.2299999992</v>
      </c>
      <c r="BJ8" s="48">
        <v>784183.8099999991</v>
      </c>
      <c r="BK8" s="48">
        <v>796698.3899999991</v>
      </c>
      <c r="BL8" s="48">
        <v>809212.969999999</v>
      </c>
      <c r="BM8" s="48">
        <v>821727.549999999</v>
      </c>
      <c r="BN8" s="48">
        <v>834242.129999999</v>
      </c>
      <c r="BO8" s="48">
        <v>846756.7099999989</v>
      </c>
      <c r="BP8" s="48">
        <v>859271.2899999989</v>
      </c>
      <c r="BQ8" s="48">
        <v>871785.8699999988</v>
      </c>
      <c r="BR8" s="48">
        <v>884300.4499999988</v>
      </c>
      <c r="BS8" s="48">
        <v>896815.0299999987</v>
      </c>
      <c r="BT8" s="48">
        <v>909329.6099999987</v>
      </c>
      <c r="BU8" s="48">
        <v>938526.1299999987</v>
      </c>
      <c r="BV8" s="48">
        <v>951040.7099999987</v>
      </c>
      <c r="BW8" s="48">
        <v>963555.2899999986</v>
      </c>
      <c r="BX8" s="48">
        <v>976069.8699999986</v>
      </c>
      <c r="BY8" s="48">
        <v>988584.4499999986</v>
      </c>
      <c r="BZ8" s="48">
        <v>1001099.0299999985</v>
      </c>
      <c r="CA8" s="48">
        <v>1013613.6099999985</v>
      </c>
      <c r="CB8" s="48">
        <v>1026128.1899999984</v>
      </c>
      <c r="CC8" s="48">
        <v>1038642.7699999984</v>
      </c>
      <c r="CD8" s="69">
        <v>1051157.3499999985</v>
      </c>
      <c r="CE8" s="69">
        <v>1063671.9299999985</v>
      </c>
      <c r="CF8" s="69">
        <v>1076186.5099999986</v>
      </c>
      <c r="CG8" s="69">
        <v>1105383.0299999986</v>
      </c>
      <c r="CH8" s="69">
        <v>1117897.6099999987</v>
      </c>
      <c r="CI8" s="69">
        <v>1130412.1899999988</v>
      </c>
      <c r="CJ8" s="69">
        <v>1142926.7699999989</v>
      </c>
      <c r="CK8" s="69">
        <v>1155441.349999999</v>
      </c>
      <c r="CL8" s="69">
        <v>1169082.2399999988</v>
      </c>
      <c r="CM8" s="69">
        <v>1182723.1299999987</v>
      </c>
      <c r="CN8" s="69">
        <v>1196364.0199999986</v>
      </c>
      <c r="CO8" s="69">
        <v>1210004.9099999985</v>
      </c>
      <c r="CP8" s="69">
        <v>1223645.7999999984</v>
      </c>
      <c r="CQ8" s="69">
        <v>1237286.6899999983</v>
      </c>
      <c r="CR8" s="69">
        <v>1250927.5799999982</v>
      </c>
      <c r="CS8" s="69">
        <v>1282751.7799999982</v>
      </c>
      <c r="CT8" s="69">
        <v>1296392.669999998</v>
      </c>
      <c r="CU8" s="69">
        <v>1310033.559999998</v>
      </c>
      <c r="CV8" s="69">
        <v>1323674.4499999979</v>
      </c>
      <c r="CW8" s="69">
        <v>1337315.3399999978</v>
      </c>
      <c r="CX8" s="69">
        <v>1350956.2299999977</v>
      </c>
      <c r="CY8" s="69">
        <v>1364597.1199999976</v>
      </c>
      <c r="CZ8" s="69">
        <v>1378238.0099999974</v>
      </c>
      <c r="DA8" s="69">
        <v>1391878.8999999973</v>
      </c>
      <c r="DB8" s="69">
        <v>1405519.7899999972</v>
      </c>
      <c r="DC8" s="69">
        <v>1419160.6799999971</v>
      </c>
      <c r="DD8" s="69">
        <v>1432801.569999997</v>
      </c>
      <c r="DE8" s="69">
        <v>1464625.769999997</v>
      </c>
      <c r="DF8" s="69">
        <v>1479815.619999997</v>
      </c>
      <c r="DG8" s="69">
        <v>1495005.4699999972</v>
      </c>
      <c r="DH8" s="69">
        <v>1510195.3199999973</v>
      </c>
      <c r="DI8" s="69">
        <v>1525385.1699999974</v>
      </c>
      <c r="DJ8" s="69">
        <v>1540575.0199999975</v>
      </c>
      <c r="DK8" s="69">
        <v>1555764.8699999976</v>
      </c>
      <c r="DL8" s="69">
        <v>1570954.7199999976</v>
      </c>
      <c r="DM8" s="69">
        <v>1586144.5699999977</v>
      </c>
      <c r="DN8" s="69">
        <v>1601334.4199999978</v>
      </c>
      <c r="DO8" s="69">
        <v>1616524.269999998</v>
      </c>
      <c r="DP8" s="69">
        <v>1631714.119999998</v>
      </c>
      <c r="DQ8" s="69">
        <v>1667152.039999998</v>
      </c>
      <c r="DR8" s="69">
        <v>1682341.889999998</v>
      </c>
      <c r="DS8" s="69">
        <v>1697531.7399999981</v>
      </c>
      <c r="DT8" s="69">
        <v>1712721.5899999982</v>
      </c>
      <c r="DU8" s="69">
        <v>1729636.2899999982</v>
      </c>
      <c r="DV8" s="69">
        <v>1746550.9899999981</v>
      </c>
      <c r="DW8" s="69">
        <v>1763465.689999998</v>
      </c>
      <c r="DX8" s="69">
        <v>1780380.389999998</v>
      </c>
      <c r="DY8" s="69">
        <v>1797295.089999998</v>
      </c>
      <c r="DZ8" s="69">
        <v>1814209.789999998</v>
      </c>
      <c r="EA8" s="69">
        <v>1831124.489999998</v>
      </c>
      <c r="EB8" s="69">
        <v>1848039.1899999978</v>
      </c>
      <c r="EC8" s="69">
        <v>1887501.1899999978</v>
      </c>
      <c r="ED8" s="69">
        <v>1904415.8899999978</v>
      </c>
      <c r="EE8" s="69">
        <v>1921330.5899999978</v>
      </c>
      <c r="EF8" s="69">
        <v>1938245.2899999977</v>
      </c>
      <c r="EG8" s="69">
        <v>1955159.9899999977</v>
      </c>
      <c r="EH8" s="69">
        <v>1972074.6899999976</v>
      </c>
      <c r="EI8" s="69">
        <v>1988989.3899999976</v>
      </c>
      <c r="EJ8" s="69">
        <v>2005904.0899999975</v>
      </c>
      <c r="EK8" s="69">
        <v>2022818.7899999975</v>
      </c>
      <c r="EL8" s="69">
        <v>2039733.4899999974</v>
      </c>
      <c r="EM8" s="69">
        <v>2056648.1899999974</v>
      </c>
      <c r="EN8" s="69">
        <v>2073562.8899999973</v>
      </c>
      <c r="EO8" s="69">
        <v>2113024.8899999973</v>
      </c>
    </row>
    <row r="9">
      <c r="A9" s="68" t="s">
        <v>46</v>
      </c>
      <c r="B9" s="48">
        <v>22654.94</v>
      </c>
      <c r="C9" s="48">
        <v>45309.88</v>
      </c>
      <c r="D9" s="48">
        <v>67964.81999999999</v>
      </c>
      <c r="E9" s="48">
        <v>90619.76</v>
      </c>
      <c r="F9" s="48">
        <v>113274.7</v>
      </c>
      <c r="G9" s="48">
        <v>135929.63999999998</v>
      </c>
      <c r="H9" s="48">
        <v>158584.58</v>
      </c>
      <c r="I9" s="48">
        <v>181239.52</v>
      </c>
      <c r="J9" s="48">
        <v>203894.46</v>
      </c>
      <c r="K9" s="48">
        <v>226549.4</v>
      </c>
      <c r="L9" s="48">
        <v>249204.34</v>
      </c>
      <c r="M9" s="48">
        <v>302058.31</v>
      </c>
      <c r="N9" s="48">
        <v>324713.25</v>
      </c>
      <c r="O9" s="48">
        <v>347368.19</v>
      </c>
      <c r="P9" s="48">
        <v>370023.13</v>
      </c>
      <c r="Q9" s="48">
        <v>392678.07</v>
      </c>
      <c r="R9" s="48">
        <v>415333.01</v>
      </c>
      <c r="S9" s="48">
        <v>437987.95</v>
      </c>
      <c r="T9" s="48">
        <v>460642.89</v>
      </c>
      <c r="U9" s="48">
        <v>483297.83</v>
      </c>
      <c r="V9" s="48">
        <v>505952.77</v>
      </c>
      <c r="W9" s="48">
        <v>528607.71</v>
      </c>
      <c r="X9" s="48">
        <v>551262.6499999999</v>
      </c>
      <c r="Y9" s="48">
        <v>604116.6199999999</v>
      </c>
      <c r="Z9" s="48">
        <v>626771.5599999998</v>
      </c>
      <c r="AA9" s="48">
        <v>649426.4999999998</v>
      </c>
      <c r="AB9" s="48">
        <v>672081.4399999997</v>
      </c>
      <c r="AC9" s="48">
        <v>694736.3799999997</v>
      </c>
      <c r="AD9" s="48">
        <v>717391.3199999996</v>
      </c>
      <c r="AE9" s="48">
        <v>740046.2599999995</v>
      </c>
      <c r="AF9" s="48">
        <v>762701.1999999995</v>
      </c>
      <c r="AG9" s="48">
        <v>785356.1399999994</v>
      </c>
      <c r="AH9" s="48">
        <v>808011.0799999994</v>
      </c>
      <c r="AI9" s="48">
        <v>830666.0199999993</v>
      </c>
      <c r="AJ9" s="48">
        <v>853320.9599999993</v>
      </c>
      <c r="AK9" s="48">
        <v>914500.0899999993</v>
      </c>
      <c r="AL9" s="48">
        <v>940723.4599999993</v>
      </c>
      <c r="AM9" s="48">
        <v>966946.8299999993</v>
      </c>
      <c r="AN9" s="48">
        <v>993170.1999999993</v>
      </c>
      <c r="AO9" s="48">
        <v>1019393.5699999993</v>
      </c>
      <c r="AP9" s="48">
        <v>1045616.9399999992</v>
      </c>
      <c r="AQ9" s="48">
        <v>1071840.3099999994</v>
      </c>
      <c r="AR9" s="48">
        <v>1098063.6799999995</v>
      </c>
      <c r="AS9" s="48">
        <v>1124287.0499999996</v>
      </c>
      <c r="AT9" s="48">
        <v>1150510.4199999997</v>
      </c>
      <c r="AU9" s="48">
        <v>1176733.7899999998</v>
      </c>
      <c r="AV9" s="48">
        <v>1202957.16</v>
      </c>
      <c r="AW9" s="48">
        <v>1264136.2899999998</v>
      </c>
      <c r="AX9" s="48">
        <v>1290359.66</v>
      </c>
      <c r="AY9" s="48">
        <v>1316583.03</v>
      </c>
      <c r="AZ9" s="48">
        <v>1341182.02</v>
      </c>
      <c r="BA9" s="48">
        <v>1365781.01</v>
      </c>
      <c r="BB9" s="48">
        <v>1390380.0</v>
      </c>
      <c r="BC9" s="48">
        <v>1414978.99</v>
      </c>
      <c r="BD9" s="48">
        <v>1439577.98</v>
      </c>
      <c r="BE9" s="48">
        <v>1464176.97</v>
      </c>
      <c r="BF9" s="48">
        <v>1488775.96</v>
      </c>
      <c r="BG9" s="48">
        <v>1513374.95</v>
      </c>
      <c r="BH9" s="48">
        <v>1537973.94</v>
      </c>
      <c r="BI9" s="48">
        <v>1595363.39</v>
      </c>
      <c r="BJ9" s="48">
        <v>1619998.0299999998</v>
      </c>
      <c r="BK9" s="48">
        <v>1644632.6699999997</v>
      </c>
      <c r="BL9" s="48">
        <v>1669267.3099999996</v>
      </c>
      <c r="BM9" s="48">
        <v>1693901.9499999995</v>
      </c>
      <c r="BN9" s="48">
        <v>1718536.5899999994</v>
      </c>
      <c r="BO9" s="48">
        <v>1743171.2299999993</v>
      </c>
      <c r="BP9" s="48">
        <v>1767805.8699999992</v>
      </c>
      <c r="BQ9" s="48">
        <v>1792440.509999999</v>
      </c>
      <c r="BR9" s="48">
        <v>1817075.149999999</v>
      </c>
      <c r="BS9" s="48">
        <v>1841709.7899999989</v>
      </c>
      <c r="BT9" s="48">
        <v>1866344.4299999988</v>
      </c>
      <c r="BU9" s="48">
        <v>1923817.0299999989</v>
      </c>
      <c r="BV9" s="48">
        <v>1948521.7899999989</v>
      </c>
      <c r="BW9" s="48">
        <v>1973226.5499999989</v>
      </c>
      <c r="BX9" s="48">
        <v>1997931.309999999</v>
      </c>
      <c r="BY9" s="48">
        <v>2022636.069999999</v>
      </c>
      <c r="BZ9" s="48">
        <v>2047340.829999999</v>
      </c>
      <c r="CA9" s="48">
        <v>2072045.589999999</v>
      </c>
      <c r="CB9" s="48">
        <v>2096750.349999999</v>
      </c>
      <c r="CC9" s="48">
        <v>2121455.109999999</v>
      </c>
      <c r="CD9" s="69">
        <v>2146159.8699999987</v>
      </c>
      <c r="CE9" s="69">
        <v>2170864.6299999985</v>
      </c>
      <c r="CF9" s="69">
        <v>2195569.3899999983</v>
      </c>
      <c r="CG9" s="69">
        <v>2253205.6099999985</v>
      </c>
      <c r="CH9" s="69">
        <v>2277955.6599999983</v>
      </c>
      <c r="CI9" s="69">
        <v>2302705.709999998</v>
      </c>
      <c r="CJ9" s="69">
        <v>2327455.759999998</v>
      </c>
      <c r="CK9" s="69">
        <v>2353590.299999998</v>
      </c>
      <c r="CL9" s="69">
        <v>2379740.639999998</v>
      </c>
      <c r="CM9" s="69">
        <v>2405890.9799999977</v>
      </c>
      <c r="CN9" s="69">
        <v>2432041.3199999975</v>
      </c>
      <c r="CO9" s="69">
        <v>2458191.6599999974</v>
      </c>
      <c r="CP9" s="69">
        <v>2484341.999999997</v>
      </c>
      <c r="CQ9" s="69">
        <v>2510492.339999997</v>
      </c>
      <c r="CR9" s="69">
        <v>2536642.679999997</v>
      </c>
      <c r="CS9" s="69">
        <v>2597651.419999997</v>
      </c>
      <c r="CT9" s="69">
        <v>2623832.149999997</v>
      </c>
      <c r="CU9" s="69">
        <v>2651408.429999997</v>
      </c>
      <c r="CV9" s="69">
        <v>2678984.7099999967</v>
      </c>
      <c r="CW9" s="69">
        <v>2706560.9899999965</v>
      </c>
      <c r="CX9" s="69">
        <v>2734137.2699999963</v>
      </c>
      <c r="CY9" s="69">
        <v>2761713.549999996</v>
      </c>
      <c r="CZ9" s="69">
        <v>2789289.829999996</v>
      </c>
      <c r="DA9" s="69">
        <v>2816866.1099999957</v>
      </c>
      <c r="DB9" s="69">
        <v>2844442.3899999955</v>
      </c>
      <c r="DC9" s="69">
        <v>2872018.6699999953</v>
      </c>
      <c r="DD9" s="69">
        <v>2899594.949999995</v>
      </c>
      <c r="DE9" s="69">
        <v>2963930.3999999953</v>
      </c>
      <c r="DF9" s="69">
        <v>2991506.679999995</v>
      </c>
      <c r="DG9" s="69">
        <v>3020467.499999995</v>
      </c>
      <c r="DH9" s="69">
        <v>3049428.3199999947</v>
      </c>
      <c r="DI9" s="69">
        <v>3078389.1399999945</v>
      </c>
      <c r="DJ9" s="69">
        <v>3107349.9599999944</v>
      </c>
      <c r="DK9" s="69">
        <v>3136310.779999994</v>
      </c>
      <c r="DL9" s="69">
        <v>3165271.599999994</v>
      </c>
      <c r="DM9" s="69">
        <v>3194232.419999994</v>
      </c>
      <c r="DN9" s="69">
        <v>3223193.2399999937</v>
      </c>
      <c r="DO9" s="69">
        <v>3252154.0599999935</v>
      </c>
      <c r="DP9" s="69">
        <v>3281114.8799999934</v>
      </c>
      <c r="DQ9" s="69">
        <v>3348680.4599999934</v>
      </c>
      <c r="DR9" s="69">
        <v>3377641.2799999933</v>
      </c>
      <c r="DS9" s="69">
        <v>3406602.099999993</v>
      </c>
      <c r="DT9" s="69">
        <v>3435562.919999993</v>
      </c>
      <c r="DU9" s="69">
        <v>3464523.739999993</v>
      </c>
      <c r="DV9" s="69">
        <v>3493484.5599999926</v>
      </c>
      <c r="DW9" s="69">
        <v>3522445.3799999924</v>
      </c>
      <c r="DX9" s="69">
        <v>3551406.1999999923</v>
      </c>
      <c r="DY9" s="69">
        <v>3580367.019999992</v>
      </c>
      <c r="DZ9" s="69">
        <v>3609327.839999992</v>
      </c>
      <c r="EA9" s="69">
        <v>3638288.6599999918</v>
      </c>
      <c r="EB9" s="69">
        <v>3667249.4799999916</v>
      </c>
      <c r="EC9" s="69">
        <v>3734815.0599999917</v>
      </c>
      <c r="ED9" s="69">
        <v>3763775.8799999915</v>
      </c>
      <c r="EE9" s="69">
        <v>3792736.6999999913</v>
      </c>
      <c r="EF9" s="69">
        <v>3821697.519999991</v>
      </c>
      <c r="EG9" s="69">
        <v>3850658.339999991</v>
      </c>
      <c r="EH9" s="69">
        <v>3879619.159999991</v>
      </c>
      <c r="EI9" s="69">
        <v>3908579.9799999907</v>
      </c>
      <c r="EJ9" s="69">
        <v>3937540.7999999905</v>
      </c>
      <c r="EK9" s="69">
        <v>3966501.6199999903</v>
      </c>
      <c r="EL9" s="69">
        <v>3995462.43999999</v>
      </c>
      <c r="EM9" s="69">
        <v>4024423.25999999</v>
      </c>
      <c r="EN9" s="69">
        <v>4053384.07999999</v>
      </c>
      <c r="EO9" s="69">
        <v>4120949.65999999</v>
      </c>
    </row>
    <row r="10">
      <c r="A10" s="68" t="s">
        <v>47</v>
      </c>
      <c r="B10" s="48">
        <v>15398.42</v>
      </c>
      <c r="C10" s="48">
        <v>30796.84</v>
      </c>
      <c r="D10" s="48">
        <v>46195.26</v>
      </c>
      <c r="E10" s="48">
        <v>61593.68</v>
      </c>
      <c r="F10" s="48">
        <v>76992.1</v>
      </c>
      <c r="G10" s="48">
        <v>92390.52</v>
      </c>
      <c r="H10" s="48">
        <v>107788.94</v>
      </c>
      <c r="I10" s="48">
        <v>125943.95</v>
      </c>
      <c r="J10" s="48">
        <v>144098.96</v>
      </c>
      <c r="K10" s="48">
        <v>162253.97</v>
      </c>
      <c r="L10" s="48">
        <v>180408.98</v>
      </c>
      <c r="M10" s="48">
        <v>222764.63</v>
      </c>
      <c r="N10" s="48">
        <v>242118.33000000002</v>
      </c>
      <c r="O10" s="48">
        <v>261472.03000000003</v>
      </c>
      <c r="P10" s="48">
        <v>280825.73000000004</v>
      </c>
      <c r="Q10" s="48">
        <v>300179.43000000005</v>
      </c>
      <c r="R10" s="48">
        <v>319533.13000000006</v>
      </c>
      <c r="S10" s="48">
        <v>338886.8300000001</v>
      </c>
      <c r="T10" s="48">
        <v>358240.5300000001</v>
      </c>
      <c r="U10" s="48">
        <v>377594.2300000001</v>
      </c>
      <c r="V10" s="48">
        <v>396947.9300000001</v>
      </c>
      <c r="W10" s="48">
        <v>416301.6300000001</v>
      </c>
      <c r="X10" s="48">
        <v>435655.33000000013</v>
      </c>
      <c r="Y10" s="48">
        <v>480807.5100000001</v>
      </c>
      <c r="Z10" s="48">
        <v>502745.85000000015</v>
      </c>
      <c r="AA10" s="48">
        <v>524684.1900000002</v>
      </c>
      <c r="AB10" s="48">
        <v>546622.5300000001</v>
      </c>
      <c r="AC10" s="48">
        <v>568560.8700000001</v>
      </c>
      <c r="AD10" s="48">
        <v>590499.2100000001</v>
      </c>
      <c r="AE10" s="48">
        <v>612437.55</v>
      </c>
      <c r="AF10" s="48">
        <v>634375.89</v>
      </c>
      <c r="AG10" s="48">
        <v>656314.23</v>
      </c>
      <c r="AH10" s="48">
        <v>678252.57</v>
      </c>
      <c r="AI10" s="48">
        <v>700190.9099999999</v>
      </c>
      <c r="AJ10" s="48">
        <v>722129.2499999999</v>
      </c>
      <c r="AK10" s="48">
        <v>774196.2899999999</v>
      </c>
      <c r="AL10" s="48">
        <v>797392.0299999999</v>
      </c>
      <c r="AM10" s="48">
        <v>820587.7699999999</v>
      </c>
      <c r="AN10" s="48">
        <v>843783.5099999999</v>
      </c>
      <c r="AO10" s="48">
        <v>866979.2499999999</v>
      </c>
      <c r="AP10" s="48">
        <v>890174.9899999999</v>
      </c>
      <c r="AQ10" s="48">
        <v>913370.7299999999</v>
      </c>
      <c r="AR10" s="48">
        <v>936566.4699999999</v>
      </c>
      <c r="AS10" s="48">
        <v>959762.2099999998</v>
      </c>
      <c r="AT10" s="48">
        <v>982957.9499999998</v>
      </c>
      <c r="AU10" s="48">
        <v>1006153.6899999998</v>
      </c>
      <c r="AV10" s="48">
        <v>1029349.4299999998</v>
      </c>
      <c r="AW10" s="48">
        <v>1083465.0899999999</v>
      </c>
      <c r="AX10" s="48">
        <v>1107074.2899999998</v>
      </c>
      <c r="AY10" s="48">
        <v>1130683.4899999998</v>
      </c>
      <c r="AZ10" s="48">
        <v>1153553.3899999997</v>
      </c>
      <c r="BA10" s="48">
        <v>1176423.2899999996</v>
      </c>
      <c r="BB10" s="48">
        <v>1199293.1899999995</v>
      </c>
      <c r="BC10" s="48">
        <v>1222163.0899999994</v>
      </c>
      <c r="BD10" s="48">
        <v>1245032.9899999993</v>
      </c>
      <c r="BE10" s="48">
        <v>1267902.8899999992</v>
      </c>
      <c r="BF10" s="48">
        <v>1290772.789999999</v>
      </c>
      <c r="BG10" s="48">
        <v>1313642.689999999</v>
      </c>
      <c r="BH10" s="48">
        <v>1336512.589999999</v>
      </c>
      <c r="BI10" s="48">
        <v>1389868.069999999</v>
      </c>
      <c r="BJ10" s="48">
        <v>1413722.0199999989</v>
      </c>
      <c r="BK10" s="48">
        <v>1437575.9699999988</v>
      </c>
      <c r="BL10" s="48">
        <v>1461429.9199999988</v>
      </c>
      <c r="BM10" s="48">
        <v>1485283.8699999987</v>
      </c>
      <c r="BN10" s="48">
        <v>1509137.8199999987</v>
      </c>
      <c r="BO10" s="48">
        <v>1532991.7699999986</v>
      </c>
      <c r="BP10" s="48">
        <v>1556845.7199999986</v>
      </c>
      <c r="BQ10" s="48">
        <v>1580699.6699999985</v>
      </c>
      <c r="BR10" s="48">
        <v>1604553.6199999985</v>
      </c>
      <c r="BS10" s="48">
        <v>1628407.5699999984</v>
      </c>
      <c r="BT10" s="48">
        <v>1652261.5199999984</v>
      </c>
      <c r="BU10" s="48">
        <v>1707912.7699999984</v>
      </c>
      <c r="BV10" s="48">
        <v>1733936.5699999984</v>
      </c>
      <c r="BW10" s="48">
        <v>1759960.3699999985</v>
      </c>
      <c r="BX10" s="48">
        <v>1785984.1699999985</v>
      </c>
      <c r="BY10" s="48">
        <v>1812007.9699999986</v>
      </c>
      <c r="BZ10" s="48">
        <v>1838031.7699999986</v>
      </c>
      <c r="CA10" s="48">
        <v>1864055.5699999987</v>
      </c>
      <c r="CB10" s="48">
        <v>1890079.3699999987</v>
      </c>
      <c r="CC10" s="48">
        <v>1916103.1699999988</v>
      </c>
      <c r="CD10" s="69">
        <v>1942126.9699999988</v>
      </c>
      <c r="CE10" s="69">
        <v>1968150.7699999989</v>
      </c>
      <c r="CF10" s="69">
        <v>1994174.569999999</v>
      </c>
      <c r="CG10" s="69">
        <v>2054888.099999999</v>
      </c>
      <c r="CH10" s="69">
        <v>2081070.7399999988</v>
      </c>
      <c r="CI10" s="69">
        <v>2107255.049999999</v>
      </c>
      <c r="CJ10" s="69">
        <v>2133439.359999999</v>
      </c>
      <c r="CK10" s="69">
        <v>2161114.6199999987</v>
      </c>
      <c r="CL10" s="69">
        <v>2188687.2899999986</v>
      </c>
      <c r="CM10" s="69">
        <v>2216259.9599999986</v>
      </c>
      <c r="CN10" s="69">
        <v>2243832.6299999985</v>
      </c>
      <c r="CO10" s="69">
        <v>2271405.2999999984</v>
      </c>
      <c r="CP10" s="69">
        <v>2298977.9699999983</v>
      </c>
      <c r="CQ10" s="69">
        <v>2326550.6399999983</v>
      </c>
      <c r="CR10" s="69">
        <v>2354123.309999998</v>
      </c>
      <c r="CS10" s="69">
        <v>2418450.359999998</v>
      </c>
      <c r="CT10" s="69">
        <v>2446053.419999998</v>
      </c>
      <c r="CU10" s="69">
        <v>2475334.049999998</v>
      </c>
      <c r="CV10" s="69">
        <v>2504614.679999998</v>
      </c>
      <c r="CW10" s="69">
        <v>2533895.3099999977</v>
      </c>
      <c r="CX10" s="69">
        <v>2563175.9399999976</v>
      </c>
      <c r="CY10" s="69">
        <v>2592456.5699999975</v>
      </c>
      <c r="CZ10" s="69">
        <v>2621737.1999999974</v>
      </c>
      <c r="DA10" s="69">
        <v>2651017.8299999973</v>
      </c>
      <c r="DB10" s="69">
        <v>2680298.459999997</v>
      </c>
      <c r="DC10" s="69">
        <v>2709579.089999997</v>
      </c>
      <c r="DD10" s="69">
        <v>2738859.719999997</v>
      </c>
      <c r="DE10" s="69">
        <v>2807171.439999997</v>
      </c>
      <c r="DF10" s="69">
        <v>2836452.069999997</v>
      </c>
      <c r="DG10" s="69">
        <v>2867399.279999997</v>
      </c>
      <c r="DH10" s="69">
        <v>2898346.489999997</v>
      </c>
      <c r="DI10" s="69">
        <v>2929293.699999997</v>
      </c>
      <c r="DJ10" s="69">
        <v>2960240.909999997</v>
      </c>
      <c r="DK10" s="69">
        <v>2991188.119999997</v>
      </c>
      <c r="DL10" s="69">
        <v>3022135.329999997</v>
      </c>
      <c r="DM10" s="69">
        <v>3053082.539999997</v>
      </c>
      <c r="DN10" s="69">
        <v>3084029.7499999967</v>
      </c>
      <c r="DO10" s="69">
        <v>3114976.9599999967</v>
      </c>
      <c r="DP10" s="69">
        <v>3145924.1699999967</v>
      </c>
      <c r="DQ10" s="69">
        <v>3218124.0199999968</v>
      </c>
      <c r="DR10" s="69">
        <v>3249071.2299999967</v>
      </c>
      <c r="DS10" s="69">
        <v>3280018.4399999967</v>
      </c>
      <c r="DT10" s="69">
        <v>3310965.6499999966</v>
      </c>
      <c r="DU10" s="69">
        <v>3341912.8599999966</v>
      </c>
      <c r="DV10" s="69">
        <v>3372860.0699999966</v>
      </c>
      <c r="DW10" s="69">
        <v>3403807.2799999965</v>
      </c>
      <c r="DX10" s="69">
        <v>3434754.4899999965</v>
      </c>
      <c r="DY10" s="69">
        <v>3465701.6999999965</v>
      </c>
      <c r="DZ10" s="69">
        <v>3496648.9099999964</v>
      </c>
      <c r="EA10" s="69">
        <v>3527596.1199999964</v>
      </c>
      <c r="EB10" s="69">
        <v>3558543.3299999963</v>
      </c>
      <c r="EC10" s="69">
        <v>3630743.1799999964</v>
      </c>
      <c r="ED10" s="69">
        <v>3661690.3899999964</v>
      </c>
      <c r="EE10" s="69">
        <v>3692637.5999999964</v>
      </c>
      <c r="EF10" s="69">
        <v>3723584.8099999963</v>
      </c>
      <c r="EG10" s="69">
        <v>3754532.0199999963</v>
      </c>
      <c r="EH10" s="69">
        <v>3785479.2299999963</v>
      </c>
      <c r="EI10" s="69">
        <v>3816426.439999996</v>
      </c>
      <c r="EJ10" s="69">
        <v>3847373.649999996</v>
      </c>
      <c r="EK10" s="69">
        <v>3878320.859999996</v>
      </c>
      <c r="EL10" s="69">
        <v>3909268.069999996</v>
      </c>
      <c r="EM10" s="69">
        <v>3940215.279999996</v>
      </c>
      <c r="EN10" s="69">
        <v>3971162.489999996</v>
      </c>
      <c r="EO10" s="69">
        <v>4043362.339999996</v>
      </c>
    </row>
    <row r="11">
      <c r="A11" s="68" t="s">
        <v>48</v>
      </c>
      <c r="B11" s="48">
        <v>15584.29</v>
      </c>
      <c r="C11" s="48">
        <v>31168.58</v>
      </c>
      <c r="D11" s="48">
        <v>46752.87</v>
      </c>
      <c r="E11" s="48">
        <v>62337.16</v>
      </c>
      <c r="F11" s="48">
        <v>77921.45000000001</v>
      </c>
      <c r="G11" s="48">
        <v>93505.74000000002</v>
      </c>
      <c r="H11" s="48">
        <v>109090.03000000003</v>
      </c>
      <c r="I11" s="48">
        <v>124674.32000000004</v>
      </c>
      <c r="J11" s="48">
        <v>140258.61000000004</v>
      </c>
      <c r="K11" s="48">
        <v>155842.90000000005</v>
      </c>
      <c r="L11" s="48">
        <v>171427.19000000006</v>
      </c>
      <c r="M11" s="48">
        <v>207785.33000000007</v>
      </c>
      <c r="N11" s="48">
        <v>226890.90000000008</v>
      </c>
      <c r="O11" s="48">
        <v>245996.4700000001</v>
      </c>
      <c r="P11" s="48">
        <v>265102.0400000001</v>
      </c>
      <c r="Q11" s="48">
        <v>284207.6100000001</v>
      </c>
      <c r="R11" s="48">
        <v>303313.1800000001</v>
      </c>
      <c r="S11" s="48">
        <v>322418.7500000001</v>
      </c>
      <c r="T11" s="48">
        <v>341524.3200000001</v>
      </c>
      <c r="U11" s="48">
        <v>360629.89000000013</v>
      </c>
      <c r="V11" s="48">
        <v>379735.46000000014</v>
      </c>
      <c r="W11" s="48">
        <v>398841.03000000014</v>
      </c>
      <c r="X11" s="48">
        <v>417946.60000000015</v>
      </c>
      <c r="Y11" s="48">
        <v>462519.89000000013</v>
      </c>
      <c r="Z11" s="48">
        <v>482491.6800000001</v>
      </c>
      <c r="AA11" s="48">
        <v>502463.4700000001</v>
      </c>
      <c r="AB11" s="48">
        <v>522435.26000000007</v>
      </c>
      <c r="AC11" s="48">
        <v>542407.05</v>
      </c>
      <c r="AD11" s="48">
        <v>562378.8400000001</v>
      </c>
      <c r="AE11" s="48">
        <v>582350.6300000001</v>
      </c>
      <c r="AF11" s="48">
        <v>602322.4200000002</v>
      </c>
      <c r="AG11" s="48">
        <v>622294.2100000002</v>
      </c>
      <c r="AH11" s="48">
        <v>642266.0000000002</v>
      </c>
      <c r="AI11" s="48">
        <v>662237.7900000003</v>
      </c>
      <c r="AJ11" s="48">
        <v>682209.5800000003</v>
      </c>
      <c r="AK11" s="48">
        <v>728803.7700000003</v>
      </c>
      <c r="AL11" s="48">
        <v>749635.1700000003</v>
      </c>
      <c r="AM11" s="48">
        <v>770466.5700000003</v>
      </c>
      <c r="AN11" s="48">
        <v>791297.9700000003</v>
      </c>
      <c r="AO11" s="48">
        <v>812129.3700000003</v>
      </c>
      <c r="AP11" s="48">
        <v>832960.7700000004</v>
      </c>
      <c r="AQ11" s="48">
        <v>853792.1700000004</v>
      </c>
      <c r="AR11" s="48">
        <v>874623.5700000004</v>
      </c>
      <c r="AS11" s="48">
        <v>895454.9700000004</v>
      </c>
      <c r="AT11" s="48">
        <v>916286.3700000005</v>
      </c>
      <c r="AU11" s="48">
        <v>937117.7700000005</v>
      </c>
      <c r="AV11" s="48">
        <v>957949.1700000005</v>
      </c>
      <c r="AW11" s="48">
        <v>1006548.8300000005</v>
      </c>
      <c r="AX11" s="48">
        <v>1027380.2300000006</v>
      </c>
      <c r="AY11" s="48">
        <v>1048211.6300000006</v>
      </c>
      <c r="AZ11" s="48">
        <v>1067903.3200000005</v>
      </c>
      <c r="BA11" s="48">
        <v>1087595.0100000005</v>
      </c>
      <c r="BB11" s="48">
        <v>1107286.7000000004</v>
      </c>
      <c r="BC11" s="48">
        <v>1126978.3900000004</v>
      </c>
      <c r="BD11" s="48">
        <v>1146670.0800000003</v>
      </c>
      <c r="BE11" s="48">
        <v>1166361.7700000003</v>
      </c>
      <c r="BF11" s="48">
        <v>1186053.4600000002</v>
      </c>
      <c r="BG11" s="48">
        <v>1205745.1500000001</v>
      </c>
      <c r="BH11" s="48">
        <v>1225436.84</v>
      </c>
      <c r="BI11" s="48">
        <v>1271377.56</v>
      </c>
      <c r="BJ11" s="48">
        <v>1291104.8900000001</v>
      </c>
      <c r="BK11" s="48">
        <v>1310832.2200000002</v>
      </c>
      <c r="BL11" s="48">
        <v>1330559.5500000003</v>
      </c>
      <c r="BM11" s="48">
        <v>1350286.8800000004</v>
      </c>
      <c r="BN11" s="48">
        <v>1370014.2100000004</v>
      </c>
      <c r="BO11" s="48">
        <v>1389741.5400000005</v>
      </c>
      <c r="BP11" s="48">
        <v>1409468.8700000006</v>
      </c>
      <c r="BQ11" s="48">
        <v>1429196.2000000007</v>
      </c>
      <c r="BR11" s="48">
        <v>1448923.5300000007</v>
      </c>
      <c r="BS11" s="48">
        <v>1468650.8600000008</v>
      </c>
      <c r="BT11" s="48">
        <v>1488378.1900000009</v>
      </c>
      <c r="BU11" s="48">
        <v>1534402.050000001</v>
      </c>
      <c r="BV11" s="48">
        <v>1554199.510000001</v>
      </c>
      <c r="BW11" s="48">
        <v>1573996.970000001</v>
      </c>
      <c r="BX11" s="48">
        <v>1593794.4300000009</v>
      </c>
      <c r="BY11" s="48">
        <v>1613591.8900000008</v>
      </c>
      <c r="BZ11" s="48">
        <v>1633389.3500000008</v>
      </c>
      <c r="CA11" s="48">
        <v>1653186.8100000008</v>
      </c>
      <c r="CB11" s="48">
        <v>1672984.2700000007</v>
      </c>
      <c r="CC11" s="48">
        <v>1692781.7300000007</v>
      </c>
      <c r="CD11" s="69">
        <v>1712579.1900000006</v>
      </c>
      <c r="CE11" s="69">
        <v>1732376.6500000006</v>
      </c>
      <c r="CF11" s="69">
        <v>1752174.1100000006</v>
      </c>
      <c r="CG11" s="69">
        <v>1798361.5900000005</v>
      </c>
      <c r="CH11" s="69">
        <v>1818204.3400000005</v>
      </c>
      <c r="CI11" s="69">
        <v>1838047.0900000005</v>
      </c>
      <c r="CJ11" s="69">
        <v>1857889.8400000005</v>
      </c>
      <c r="CK11" s="69">
        <v>1877732.5900000005</v>
      </c>
      <c r="CL11" s="69">
        <v>1899226.2200000004</v>
      </c>
      <c r="CM11" s="69">
        <v>1920719.8500000003</v>
      </c>
      <c r="CN11" s="69">
        <v>1942213.4800000002</v>
      </c>
      <c r="CO11" s="69">
        <v>1963707.11</v>
      </c>
      <c r="CP11" s="69">
        <v>1985200.74</v>
      </c>
      <c r="CQ11" s="69">
        <v>2006694.3699999999</v>
      </c>
      <c r="CR11" s="69">
        <v>2028187.9999999998</v>
      </c>
      <c r="CS11" s="69">
        <v>2078332.6399999997</v>
      </c>
      <c r="CT11" s="69">
        <v>2099856.6599999997</v>
      </c>
      <c r="CU11" s="69">
        <v>2121391.7199999997</v>
      </c>
      <c r="CV11" s="69">
        <v>2142926.78</v>
      </c>
      <c r="CW11" s="69">
        <v>2164461.84</v>
      </c>
      <c r="CX11" s="69">
        <v>2185996.9</v>
      </c>
      <c r="CY11" s="69">
        <v>2207531.96</v>
      </c>
      <c r="CZ11" s="69">
        <v>2229067.02</v>
      </c>
      <c r="DA11" s="69">
        <v>2251196.17</v>
      </c>
      <c r="DB11" s="69">
        <v>2273325.32</v>
      </c>
      <c r="DC11" s="69">
        <v>2295454.4699999997</v>
      </c>
      <c r="DD11" s="69">
        <v>2317583.6199999996</v>
      </c>
      <c r="DE11" s="69">
        <v>2369210.9199999995</v>
      </c>
      <c r="DF11" s="69">
        <v>2391340.0699999994</v>
      </c>
      <c r="DG11" s="69">
        <v>2413469.2199999993</v>
      </c>
      <c r="DH11" s="69">
        <v>2435598.369999999</v>
      </c>
      <c r="DI11" s="69">
        <v>2457727.519999999</v>
      </c>
      <c r="DJ11" s="69">
        <v>2480876.5099999993</v>
      </c>
      <c r="DK11" s="69">
        <v>2504025.4999999995</v>
      </c>
      <c r="DL11" s="69">
        <v>2527174.4899999998</v>
      </c>
      <c r="DM11" s="69">
        <v>2550323.48</v>
      </c>
      <c r="DN11" s="69">
        <v>2573472.47</v>
      </c>
      <c r="DO11" s="69">
        <v>2596621.4600000004</v>
      </c>
      <c r="DP11" s="69">
        <v>2619770.4500000007</v>
      </c>
      <c r="DQ11" s="69">
        <v>2673777.0400000005</v>
      </c>
      <c r="DR11" s="69">
        <v>2696926.0300000007</v>
      </c>
      <c r="DS11" s="69">
        <v>2720075.020000001</v>
      </c>
      <c r="DT11" s="69">
        <v>2743224.010000001</v>
      </c>
      <c r="DU11" s="69">
        <v>2766373.0000000014</v>
      </c>
      <c r="DV11" s="69">
        <v>2792388.0600000015</v>
      </c>
      <c r="DW11" s="69">
        <v>2818403.1200000015</v>
      </c>
      <c r="DX11" s="69">
        <v>2844418.1800000016</v>
      </c>
      <c r="DY11" s="69">
        <v>2870433.2400000016</v>
      </c>
      <c r="DZ11" s="69">
        <v>2896448.3000000017</v>
      </c>
      <c r="EA11" s="69">
        <v>2922463.3600000017</v>
      </c>
      <c r="EB11" s="69">
        <v>2948478.420000002</v>
      </c>
      <c r="EC11" s="69">
        <v>3009171.560000002</v>
      </c>
      <c r="ED11" s="69">
        <v>3035186.620000002</v>
      </c>
      <c r="EE11" s="69">
        <v>3061201.680000002</v>
      </c>
      <c r="EF11" s="69">
        <v>3087216.740000002</v>
      </c>
      <c r="EG11" s="69">
        <v>3113231.800000002</v>
      </c>
      <c r="EH11" s="69">
        <v>3139246.860000002</v>
      </c>
      <c r="EI11" s="69">
        <v>3165261.9200000023</v>
      </c>
      <c r="EJ11" s="69">
        <v>3191276.9800000023</v>
      </c>
      <c r="EK11" s="69">
        <v>3217292.0400000024</v>
      </c>
      <c r="EL11" s="69">
        <v>3243307.1000000024</v>
      </c>
      <c r="EM11" s="69">
        <v>3269322.1600000025</v>
      </c>
      <c r="EN11" s="69">
        <v>3295337.2200000025</v>
      </c>
      <c r="EO11" s="69">
        <v>3356030.3600000027</v>
      </c>
    </row>
    <row r="12">
      <c r="A12" s="68" t="s">
        <v>49</v>
      </c>
      <c r="B12" s="48">
        <v>15398.37</v>
      </c>
      <c r="C12" s="48">
        <v>30796.74</v>
      </c>
      <c r="D12" s="48">
        <v>46195.11</v>
      </c>
      <c r="E12" s="48">
        <v>61593.48</v>
      </c>
      <c r="F12" s="48">
        <v>76991.85</v>
      </c>
      <c r="G12" s="48">
        <v>92390.22</v>
      </c>
      <c r="H12" s="48">
        <v>107788.59</v>
      </c>
      <c r="I12" s="48">
        <v>123186.95999999999</v>
      </c>
      <c r="J12" s="48">
        <v>140542.83</v>
      </c>
      <c r="K12" s="48">
        <v>157898.69999999998</v>
      </c>
      <c r="L12" s="48">
        <v>175254.56999999998</v>
      </c>
      <c r="M12" s="48">
        <v>215745.83</v>
      </c>
      <c r="N12" s="48">
        <v>234667.19999999998</v>
      </c>
      <c r="O12" s="48">
        <v>253588.56999999998</v>
      </c>
      <c r="P12" s="48">
        <v>272509.94</v>
      </c>
      <c r="Q12" s="48">
        <v>291431.31</v>
      </c>
      <c r="R12" s="48">
        <v>310352.68</v>
      </c>
      <c r="S12" s="48">
        <v>329274.05</v>
      </c>
      <c r="T12" s="48">
        <v>348195.42</v>
      </c>
      <c r="U12" s="48">
        <v>367116.79</v>
      </c>
      <c r="V12" s="48">
        <v>386038.16</v>
      </c>
      <c r="W12" s="48">
        <v>404959.52999999997</v>
      </c>
      <c r="X12" s="48">
        <v>423880.89999999997</v>
      </c>
      <c r="Y12" s="48">
        <v>468024.47</v>
      </c>
      <c r="Z12" s="48">
        <v>487710.33999999997</v>
      </c>
      <c r="AA12" s="48">
        <v>507396.20999999996</v>
      </c>
      <c r="AB12" s="48">
        <v>527082.08</v>
      </c>
      <c r="AC12" s="48">
        <v>546767.95</v>
      </c>
      <c r="AD12" s="48">
        <v>566453.82</v>
      </c>
      <c r="AE12" s="48">
        <v>586139.69</v>
      </c>
      <c r="AF12" s="48">
        <v>605825.5599999999</v>
      </c>
      <c r="AG12" s="48">
        <v>625511.4299999999</v>
      </c>
      <c r="AH12" s="48">
        <v>645197.2999999999</v>
      </c>
      <c r="AI12" s="48">
        <v>664883.1699999999</v>
      </c>
      <c r="AJ12" s="48">
        <v>684569.0399999999</v>
      </c>
      <c r="AK12" s="48">
        <v>730496.1599999999</v>
      </c>
      <c r="AL12" s="48">
        <v>750940.6799999999</v>
      </c>
      <c r="AM12" s="48">
        <v>771385.2</v>
      </c>
      <c r="AN12" s="48">
        <v>791829.72</v>
      </c>
      <c r="AO12" s="48">
        <v>812274.24</v>
      </c>
      <c r="AP12" s="48">
        <v>832718.76</v>
      </c>
      <c r="AQ12" s="48">
        <v>853163.28</v>
      </c>
      <c r="AR12" s="48">
        <v>873607.8</v>
      </c>
      <c r="AS12" s="48">
        <v>894052.3200000001</v>
      </c>
      <c r="AT12" s="48">
        <v>914496.8400000001</v>
      </c>
      <c r="AU12" s="48">
        <v>934941.3600000001</v>
      </c>
      <c r="AV12" s="48">
        <v>955385.8800000001</v>
      </c>
      <c r="AW12" s="48">
        <v>1003082.9400000002</v>
      </c>
      <c r="AX12" s="48">
        <v>1023527.4600000002</v>
      </c>
      <c r="AY12" s="48">
        <v>1043971.9800000002</v>
      </c>
      <c r="AZ12" s="48">
        <v>1063487.5200000003</v>
      </c>
      <c r="BA12" s="48">
        <v>1083003.0600000003</v>
      </c>
      <c r="BB12" s="48">
        <v>1102518.6000000003</v>
      </c>
      <c r="BC12" s="48">
        <v>1122034.1400000004</v>
      </c>
      <c r="BD12" s="48">
        <v>1141549.6800000004</v>
      </c>
      <c r="BE12" s="48">
        <v>1161065.2200000004</v>
      </c>
      <c r="BF12" s="48">
        <v>1180580.7600000005</v>
      </c>
      <c r="BG12" s="48">
        <v>1200096.3000000005</v>
      </c>
      <c r="BH12" s="48">
        <v>1219611.8400000005</v>
      </c>
      <c r="BI12" s="48">
        <v>1265141.6000000006</v>
      </c>
      <c r="BJ12" s="48">
        <v>1284692.7800000005</v>
      </c>
      <c r="BK12" s="48">
        <v>1304243.9600000004</v>
      </c>
      <c r="BL12" s="48">
        <v>1323795.1400000004</v>
      </c>
      <c r="BM12" s="48">
        <v>1343346.3200000003</v>
      </c>
      <c r="BN12" s="48">
        <v>1362897.5000000002</v>
      </c>
      <c r="BO12" s="48">
        <v>1382448.6800000002</v>
      </c>
      <c r="BP12" s="48">
        <v>1401999.86</v>
      </c>
      <c r="BQ12" s="48">
        <v>1421551.04</v>
      </c>
      <c r="BR12" s="48">
        <v>1441102.22</v>
      </c>
      <c r="BS12" s="48">
        <v>1460653.4</v>
      </c>
      <c r="BT12" s="48">
        <v>1480204.5799999998</v>
      </c>
      <c r="BU12" s="48">
        <v>1525817.4899999998</v>
      </c>
      <c r="BV12" s="48">
        <v>1545438.7999999998</v>
      </c>
      <c r="BW12" s="48">
        <v>1565060.1099999999</v>
      </c>
      <c r="BX12" s="48">
        <v>1584681.42</v>
      </c>
      <c r="BY12" s="48">
        <v>1604302.73</v>
      </c>
      <c r="BZ12" s="48">
        <v>1623924.04</v>
      </c>
      <c r="CA12" s="48">
        <v>1643545.35</v>
      </c>
      <c r="CB12" s="48">
        <v>1663166.6600000001</v>
      </c>
      <c r="CC12" s="48">
        <v>1682787.9700000002</v>
      </c>
      <c r="CD12" s="69">
        <v>1702409.2800000003</v>
      </c>
      <c r="CE12" s="69">
        <v>1722030.5900000003</v>
      </c>
      <c r="CF12" s="69">
        <v>1741651.9000000004</v>
      </c>
      <c r="CG12" s="69">
        <v>1787428.4200000004</v>
      </c>
      <c r="CH12" s="69">
        <v>1807095.0100000005</v>
      </c>
      <c r="CI12" s="69">
        <v>1826761.6000000006</v>
      </c>
      <c r="CJ12" s="69">
        <v>1846428.1900000006</v>
      </c>
      <c r="CK12" s="69">
        <v>1866094.7800000007</v>
      </c>
      <c r="CL12" s="69">
        <v>1887220.2400000007</v>
      </c>
      <c r="CM12" s="69">
        <v>1908345.7000000007</v>
      </c>
      <c r="CN12" s="69">
        <v>1929471.1600000006</v>
      </c>
      <c r="CO12" s="69">
        <v>1950596.6200000006</v>
      </c>
      <c r="CP12" s="69">
        <v>1971722.0800000005</v>
      </c>
      <c r="CQ12" s="69">
        <v>1992847.5400000005</v>
      </c>
      <c r="CR12" s="69">
        <v>2013973.0000000005</v>
      </c>
      <c r="CS12" s="69">
        <v>2063258.7000000004</v>
      </c>
      <c r="CT12" s="69">
        <v>2084414.5500000005</v>
      </c>
      <c r="CU12" s="69">
        <v>2106560.1900000004</v>
      </c>
      <c r="CV12" s="69">
        <v>2128705.8300000005</v>
      </c>
      <c r="CW12" s="69">
        <v>2150851.4700000007</v>
      </c>
      <c r="CX12" s="69">
        <v>2172997.110000001</v>
      </c>
      <c r="CY12" s="69">
        <v>2195142.750000001</v>
      </c>
      <c r="CZ12" s="69">
        <v>2217288.390000001</v>
      </c>
      <c r="DA12" s="69">
        <v>2239760.280000001</v>
      </c>
      <c r="DB12" s="69">
        <v>2262232.1700000013</v>
      </c>
      <c r="DC12" s="69">
        <v>2284704.0600000015</v>
      </c>
      <c r="DD12" s="69">
        <v>2307175.9500000016</v>
      </c>
      <c r="DE12" s="69">
        <v>2359602.8700000015</v>
      </c>
      <c r="DF12" s="69">
        <v>2382074.7600000016</v>
      </c>
      <c r="DG12" s="69">
        <v>2405851.650000002</v>
      </c>
      <c r="DH12" s="69">
        <v>2429628.540000002</v>
      </c>
      <c r="DI12" s="69">
        <v>2453405.430000002</v>
      </c>
      <c r="DJ12" s="69">
        <v>2477182.320000002</v>
      </c>
      <c r="DK12" s="69">
        <v>2500959.2100000023</v>
      </c>
      <c r="DL12" s="69">
        <v>2524736.1000000024</v>
      </c>
      <c r="DM12" s="69">
        <v>2548512.9900000026</v>
      </c>
      <c r="DN12" s="69">
        <v>2572289.8800000027</v>
      </c>
      <c r="DO12" s="69">
        <v>2596066.770000003</v>
      </c>
      <c r="DP12" s="69">
        <v>2619843.660000003</v>
      </c>
      <c r="DQ12" s="69">
        <v>2675315.150000003</v>
      </c>
      <c r="DR12" s="69">
        <v>2699092.0400000033</v>
      </c>
      <c r="DS12" s="69">
        <v>2722868.9300000034</v>
      </c>
      <c r="DT12" s="69">
        <v>2746645.8200000036</v>
      </c>
      <c r="DU12" s="69">
        <v>2773358.9600000037</v>
      </c>
      <c r="DV12" s="69">
        <v>2800072.100000004</v>
      </c>
      <c r="DW12" s="69">
        <v>2826785.240000004</v>
      </c>
      <c r="DX12" s="69">
        <v>2853498.380000004</v>
      </c>
      <c r="DY12" s="69">
        <v>2880211.520000004</v>
      </c>
      <c r="DZ12" s="69">
        <v>2906924.6600000043</v>
      </c>
      <c r="EA12" s="69">
        <v>2933637.8000000045</v>
      </c>
      <c r="EB12" s="69">
        <v>2960350.9400000046</v>
      </c>
      <c r="EC12" s="69">
        <v>3022672.7000000044</v>
      </c>
      <c r="ED12" s="69">
        <v>3049385.8400000045</v>
      </c>
      <c r="EE12" s="69">
        <v>3076361.6100000045</v>
      </c>
      <c r="EF12" s="69">
        <v>3103337.3800000045</v>
      </c>
      <c r="EG12" s="69">
        <v>3130313.1500000046</v>
      </c>
      <c r="EH12" s="69">
        <v>3157288.9200000046</v>
      </c>
      <c r="EI12" s="69">
        <v>3184264.6900000046</v>
      </c>
      <c r="EJ12" s="69">
        <v>3211240.4600000046</v>
      </c>
      <c r="EK12" s="69">
        <v>3238216.2300000046</v>
      </c>
      <c r="EL12" s="69">
        <v>3265192.0000000047</v>
      </c>
      <c r="EM12" s="69">
        <v>3292167.7700000047</v>
      </c>
      <c r="EN12" s="69">
        <v>3319143.5400000047</v>
      </c>
      <c r="EO12" s="69">
        <v>3382078.010000005</v>
      </c>
    </row>
    <row r="13">
      <c r="A13" s="68" t="s">
        <v>50</v>
      </c>
      <c r="B13" s="48">
        <v>9530.3</v>
      </c>
      <c r="C13" s="48">
        <v>19060.6</v>
      </c>
      <c r="D13" s="48">
        <v>28590.899999999998</v>
      </c>
      <c r="E13" s="48">
        <v>38121.2</v>
      </c>
      <c r="F13" s="48">
        <v>47651.5</v>
      </c>
      <c r="G13" s="48">
        <v>57181.8</v>
      </c>
      <c r="H13" s="48">
        <v>66712.1</v>
      </c>
      <c r="I13" s="48">
        <v>76242.40000000001</v>
      </c>
      <c r="J13" s="48">
        <v>86947.20000000001</v>
      </c>
      <c r="K13" s="48">
        <v>97652.00000000001</v>
      </c>
      <c r="L13" s="48">
        <v>108356.80000000002</v>
      </c>
      <c r="M13" s="48">
        <v>133331.09000000003</v>
      </c>
      <c r="N13" s="48">
        <v>144969.11000000002</v>
      </c>
      <c r="O13" s="48">
        <v>156607.13</v>
      </c>
      <c r="P13" s="48">
        <v>168245.15</v>
      </c>
      <c r="Q13" s="48">
        <v>179883.16999999998</v>
      </c>
      <c r="R13" s="48">
        <v>191521.18999999997</v>
      </c>
      <c r="S13" s="48">
        <v>203159.20999999996</v>
      </c>
      <c r="T13" s="48">
        <v>214797.22999999995</v>
      </c>
      <c r="U13" s="48">
        <v>226435.24999999994</v>
      </c>
      <c r="V13" s="48">
        <v>238073.26999999993</v>
      </c>
      <c r="W13" s="48">
        <v>249711.28999999992</v>
      </c>
      <c r="X13" s="48">
        <v>261349.3099999999</v>
      </c>
      <c r="Y13" s="48">
        <v>288500.79999999993</v>
      </c>
      <c r="Z13" s="48">
        <v>300594.5399999999</v>
      </c>
      <c r="AA13" s="48">
        <v>312688.2799999999</v>
      </c>
      <c r="AB13" s="48">
        <v>324782.0199999999</v>
      </c>
      <c r="AC13" s="48">
        <v>336875.7599999999</v>
      </c>
      <c r="AD13" s="48">
        <v>348969.4999999999</v>
      </c>
      <c r="AE13" s="48">
        <v>361063.2399999999</v>
      </c>
      <c r="AF13" s="48">
        <v>373156.97999999986</v>
      </c>
      <c r="AG13" s="48">
        <v>385250.71999999986</v>
      </c>
      <c r="AH13" s="48">
        <v>397344.45999999985</v>
      </c>
      <c r="AI13" s="48">
        <v>409438.19999999984</v>
      </c>
      <c r="AJ13" s="48">
        <v>421531.9399999998</v>
      </c>
      <c r="AK13" s="48">
        <v>449746.62999999983</v>
      </c>
      <c r="AL13" s="48">
        <v>462292.6099999998</v>
      </c>
      <c r="AM13" s="48">
        <v>474838.5899999998</v>
      </c>
      <c r="AN13" s="48">
        <v>487384.5699999998</v>
      </c>
      <c r="AO13" s="48">
        <v>499930.54999999976</v>
      </c>
      <c r="AP13" s="48">
        <v>512476.52999999974</v>
      </c>
      <c r="AQ13" s="48">
        <v>525022.5099999998</v>
      </c>
      <c r="AR13" s="48">
        <v>537568.4899999998</v>
      </c>
      <c r="AS13" s="48">
        <v>550114.4699999997</v>
      </c>
      <c r="AT13" s="48">
        <v>562660.4499999997</v>
      </c>
      <c r="AU13" s="48">
        <v>575206.4299999997</v>
      </c>
      <c r="AV13" s="48">
        <v>587752.4099999997</v>
      </c>
      <c r="AW13" s="48">
        <v>617022.1799999997</v>
      </c>
      <c r="AX13" s="48">
        <v>629568.1599999997</v>
      </c>
      <c r="AY13" s="48">
        <v>642114.1399999997</v>
      </c>
      <c r="AZ13" s="48">
        <v>654370.7399999996</v>
      </c>
      <c r="BA13" s="48">
        <v>666627.3399999996</v>
      </c>
      <c r="BB13" s="48">
        <v>678883.9399999996</v>
      </c>
      <c r="BC13" s="48">
        <v>691140.5399999996</v>
      </c>
      <c r="BD13" s="48">
        <v>703397.1399999995</v>
      </c>
      <c r="BE13" s="48">
        <v>715653.7399999995</v>
      </c>
      <c r="BF13" s="48">
        <v>727910.3399999995</v>
      </c>
      <c r="BG13" s="48">
        <v>740166.9399999995</v>
      </c>
      <c r="BH13" s="48">
        <v>752423.5399999995</v>
      </c>
      <c r="BI13" s="48">
        <v>781018.1899999995</v>
      </c>
      <c r="BJ13" s="48">
        <v>793310.4299999995</v>
      </c>
      <c r="BK13" s="48">
        <v>805602.6699999995</v>
      </c>
      <c r="BL13" s="48">
        <v>817894.9099999995</v>
      </c>
      <c r="BM13" s="48">
        <v>830187.1499999994</v>
      </c>
      <c r="BN13" s="48">
        <v>842479.3899999994</v>
      </c>
      <c r="BO13" s="48">
        <v>854771.6299999994</v>
      </c>
      <c r="BP13" s="48">
        <v>867063.8699999994</v>
      </c>
      <c r="BQ13" s="48">
        <v>879356.1099999994</v>
      </c>
      <c r="BR13" s="48">
        <v>891648.3499999994</v>
      </c>
      <c r="BS13" s="48">
        <v>903940.5899999994</v>
      </c>
      <c r="BT13" s="48">
        <v>916232.8299999994</v>
      </c>
      <c r="BU13" s="48">
        <v>944910.6299999994</v>
      </c>
      <c r="BV13" s="48">
        <v>957272.9999999994</v>
      </c>
      <c r="BW13" s="48">
        <v>969635.3699999994</v>
      </c>
      <c r="BX13" s="48">
        <v>981997.7399999994</v>
      </c>
      <c r="BY13" s="48">
        <v>994360.1099999994</v>
      </c>
      <c r="BZ13" s="48">
        <v>1006722.4799999994</v>
      </c>
      <c r="CA13" s="48">
        <v>1019084.8499999994</v>
      </c>
      <c r="CB13" s="48">
        <v>1031447.2199999994</v>
      </c>
      <c r="CC13" s="48">
        <v>1043809.5899999994</v>
      </c>
      <c r="CD13" s="69">
        <v>1056171.9599999995</v>
      </c>
      <c r="CE13" s="69">
        <v>1068534.3299999996</v>
      </c>
      <c r="CF13" s="69">
        <v>1080896.6999999997</v>
      </c>
      <c r="CG13" s="69">
        <v>1109738.1099999996</v>
      </c>
      <c r="CH13" s="69">
        <v>1122145.7699999996</v>
      </c>
      <c r="CI13" s="69">
        <v>1134553.4299999995</v>
      </c>
      <c r="CJ13" s="69">
        <v>1146961.0899999994</v>
      </c>
      <c r="CK13" s="69">
        <v>1159368.7499999993</v>
      </c>
      <c r="CL13" s="69">
        <v>1172652.4299999992</v>
      </c>
      <c r="CM13" s="69">
        <v>1185936.1099999992</v>
      </c>
      <c r="CN13" s="69">
        <v>1199219.789999999</v>
      </c>
      <c r="CO13" s="69">
        <v>1212503.469999999</v>
      </c>
      <c r="CP13" s="69">
        <v>1225787.149999999</v>
      </c>
      <c r="CQ13" s="69">
        <v>1239070.829999999</v>
      </c>
      <c r="CR13" s="69">
        <v>1252354.5099999988</v>
      </c>
      <c r="CS13" s="69">
        <v>1283345.329999999</v>
      </c>
      <c r="CT13" s="69">
        <v>1296659.399999999</v>
      </c>
      <c r="CU13" s="69">
        <v>1310571.759999999</v>
      </c>
      <c r="CV13" s="69">
        <v>1324484.1199999992</v>
      </c>
      <c r="CW13" s="69">
        <v>1338396.4799999993</v>
      </c>
      <c r="CX13" s="69">
        <v>1352308.8399999994</v>
      </c>
      <c r="CY13" s="69">
        <v>1366221.1999999995</v>
      </c>
      <c r="CZ13" s="69">
        <v>1380133.5599999996</v>
      </c>
      <c r="DA13" s="69">
        <v>1394241.6699999997</v>
      </c>
      <c r="DB13" s="69">
        <v>1408349.7799999998</v>
      </c>
      <c r="DC13" s="69">
        <v>1422457.89</v>
      </c>
      <c r="DD13" s="69">
        <v>1436566.0</v>
      </c>
      <c r="DE13" s="69">
        <v>1469480.22</v>
      </c>
      <c r="DF13" s="69">
        <v>1483588.33</v>
      </c>
      <c r="DG13" s="69">
        <v>1498479.4400000002</v>
      </c>
      <c r="DH13" s="69">
        <v>1513370.5500000003</v>
      </c>
      <c r="DI13" s="69">
        <v>1528261.6600000004</v>
      </c>
      <c r="DJ13" s="69">
        <v>1543152.7700000005</v>
      </c>
      <c r="DK13" s="69">
        <v>1558043.8800000006</v>
      </c>
      <c r="DL13" s="69">
        <v>1572934.9900000007</v>
      </c>
      <c r="DM13" s="69">
        <v>1587826.1000000008</v>
      </c>
      <c r="DN13" s="69">
        <v>1602717.210000001</v>
      </c>
      <c r="DO13" s="69">
        <v>1617608.320000001</v>
      </c>
      <c r="DP13" s="69">
        <v>1632499.430000001</v>
      </c>
      <c r="DQ13" s="69">
        <v>1667240.390000001</v>
      </c>
      <c r="DR13" s="69">
        <v>1682131.5000000012</v>
      </c>
      <c r="DS13" s="69">
        <v>1697022.6100000013</v>
      </c>
      <c r="DT13" s="69">
        <v>1711913.7200000014</v>
      </c>
      <c r="DU13" s="69">
        <v>1728566.5800000015</v>
      </c>
      <c r="DV13" s="69">
        <v>1745219.4400000016</v>
      </c>
      <c r="DW13" s="69">
        <v>1761872.3000000017</v>
      </c>
      <c r="DX13" s="69">
        <v>1778525.1600000018</v>
      </c>
      <c r="DY13" s="69">
        <v>1795178.0200000019</v>
      </c>
      <c r="DZ13" s="69">
        <v>1811830.880000002</v>
      </c>
      <c r="EA13" s="69">
        <v>1828483.740000002</v>
      </c>
      <c r="EB13" s="69">
        <v>1845136.6000000022</v>
      </c>
      <c r="EC13" s="69">
        <v>1883987.7200000023</v>
      </c>
      <c r="ED13" s="69">
        <v>1900640.5800000024</v>
      </c>
      <c r="EE13" s="69">
        <v>1917451.0200000023</v>
      </c>
      <c r="EF13" s="69">
        <v>1934261.4600000023</v>
      </c>
      <c r="EG13" s="69">
        <v>1951071.9000000022</v>
      </c>
      <c r="EH13" s="69">
        <v>1967882.3400000022</v>
      </c>
      <c r="EI13" s="69">
        <v>1984692.7800000021</v>
      </c>
      <c r="EJ13" s="69">
        <v>2001503.220000002</v>
      </c>
      <c r="EK13" s="69">
        <v>2018313.660000002</v>
      </c>
      <c r="EL13" s="69">
        <v>2035124.100000002</v>
      </c>
      <c r="EM13" s="69">
        <v>2051934.540000002</v>
      </c>
      <c r="EN13" s="69">
        <v>2068744.9800000018</v>
      </c>
      <c r="EO13" s="69">
        <v>2107963.7400000016</v>
      </c>
    </row>
    <row r="14">
      <c r="A14" s="68" t="s">
        <v>51</v>
      </c>
      <c r="B14" s="48">
        <v>14671.97</v>
      </c>
      <c r="C14" s="48">
        <v>29343.94</v>
      </c>
      <c r="D14" s="48">
        <v>44015.909999999996</v>
      </c>
      <c r="E14" s="48">
        <v>58687.88</v>
      </c>
      <c r="F14" s="48">
        <v>73359.84999999999</v>
      </c>
      <c r="G14" s="48">
        <v>88031.81999999999</v>
      </c>
      <c r="H14" s="48">
        <v>102703.79</v>
      </c>
      <c r="I14" s="48">
        <v>118134.9</v>
      </c>
      <c r="J14" s="48">
        <v>133566.01</v>
      </c>
      <c r="K14" s="48">
        <v>148997.12</v>
      </c>
      <c r="L14" s="48">
        <v>164428.22999999998</v>
      </c>
      <c r="M14" s="48">
        <v>200429.00999999998</v>
      </c>
      <c r="N14" s="48">
        <v>216876.41999999998</v>
      </c>
      <c r="O14" s="48">
        <v>233323.83</v>
      </c>
      <c r="P14" s="48">
        <v>249771.24</v>
      </c>
      <c r="Q14" s="48">
        <v>266218.64999999997</v>
      </c>
      <c r="R14" s="48">
        <v>282666.05999999994</v>
      </c>
      <c r="S14" s="48">
        <v>299113.4699999999</v>
      </c>
      <c r="T14" s="48">
        <v>315560.8799999999</v>
      </c>
      <c r="U14" s="48">
        <v>332008.28999999986</v>
      </c>
      <c r="V14" s="48">
        <v>348455.69999999984</v>
      </c>
      <c r="W14" s="48">
        <v>364903.1099999998</v>
      </c>
      <c r="X14" s="48">
        <v>381350.5199999998</v>
      </c>
      <c r="Y14" s="48">
        <v>419722.3399999998</v>
      </c>
      <c r="Z14" s="48">
        <v>437204.0499999998</v>
      </c>
      <c r="AA14" s="48">
        <v>454685.75999999983</v>
      </c>
      <c r="AB14" s="48">
        <v>472167.46999999986</v>
      </c>
      <c r="AC14" s="48">
        <v>489649.1799999999</v>
      </c>
      <c r="AD14" s="48">
        <v>507130.8899999999</v>
      </c>
      <c r="AE14" s="48">
        <v>524612.5999999999</v>
      </c>
      <c r="AF14" s="48">
        <v>542094.3099999998</v>
      </c>
      <c r="AG14" s="48">
        <v>559576.0199999998</v>
      </c>
      <c r="AH14" s="48">
        <v>577057.7299999997</v>
      </c>
      <c r="AI14" s="48">
        <v>594539.4399999997</v>
      </c>
      <c r="AJ14" s="48">
        <v>612021.1499999997</v>
      </c>
      <c r="AK14" s="48">
        <v>652805.9899999996</v>
      </c>
      <c r="AL14" s="48">
        <v>671335.6299999997</v>
      </c>
      <c r="AM14" s="48">
        <v>689865.2699999997</v>
      </c>
      <c r="AN14" s="48">
        <v>708394.9099999997</v>
      </c>
      <c r="AO14" s="48">
        <v>726924.5499999997</v>
      </c>
      <c r="AP14" s="48">
        <v>745454.1899999997</v>
      </c>
      <c r="AQ14" s="48">
        <v>763983.8299999997</v>
      </c>
      <c r="AR14" s="48">
        <v>782513.4699999997</v>
      </c>
      <c r="AS14" s="48">
        <v>801043.1099999998</v>
      </c>
      <c r="AT14" s="48">
        <v>819572.7499999998</v>
      </c>
      <c r="AU14" s="48">
        <v>838102.3899999998</v>
      </c>
      <c r="AV14" s="48">
        <v>856632.0299999998</v>
      </c>
      <c r="AW14" s="48">
        <v>899861.6899999998</v>
      </c>
      <c r="AX14" s="48">
        <v>918391.3299999998</v>
      </c>
      <c r="AY14" s="48">
        <v>936920.9699999999</v>
      </c>
      <c r="AZ14" s="48">
        <v>954517.7999999998</v>
      </c>
      <c r="BA14" s="48">
        <v>972114.6299999998</v>
      </c>
      <c r="BB14" s="48">
        <v>989711.4599999997</v>
      </c>
      <c r="BC14" s="48">
        <v>1007308.2899999997</v>
      </c>
      <c r="BD14" s="48">
        <v>1024905.1199999996</v>
      </c>
      <c r="BE14" s="48">
        <v>1042501.9499999996</v>
      </c>
      <c r="BF14" s="48">
        <v>1060098.7799999996</v>
      </c>
      <c r="BG14" s="48">
        <v>1077695.6099999996</v>
      </c>
      <c r="BH14" s="48">
        <v>1095292.4399999997</v>
      </c>
      <c r="BI14" s="48">
        <v>1136345.8399999996</v>
      </c>
      <c r="BJ14" s="48">
        <v>1153978.3099999996</v>
      </c>
      <c r="BK14" s="48">
        <v>1171610.7799999996</v>
      </c>
      <c r="BL14" s="48">
        <v>1189243.2499999995</v>
      </c>
      <c r="BM14" s="48">
        <v>1206875.7199999995</v>
      </c>
      <c r="BN14" s="48">
        <v>1224508.1899999995</v>
      </c>
      <c r="BO14" s="48">
        <v>1242140.6599999995</v>
      </c>
      <c r="BP14" s="48">
        <v>1259773.1299999994</v>
      </c>
      <c r="BQ14" s="48">
        <v>1277405.5999999994</v>
      </c>
      <c r="BR14" s="48">
        <v>1295038.0699999994</v>
      </c>
      <c r="BS14" s="48">
        <v>1312670.5399999993</v>
      </c>
      <c r="BT14" s="48">
        <v>1330303.0099999993</v>
      </c>
      <c r="BU14" s="48">
        <v>1371439.5599999994</v>
      </c>
      <c r="BV14" s="48">
        <v>1389142.1599999995</v>
      </c>
      <c r="BW14" s="48">
        <v>1406844.7599999995</v>
      </c>
      <c r="BX14" s="48">
        <v>1424547.3599999996</v>
      </c>
      <c r="BY14" s="48">
        <v>1442249.9599999997</v>
      </c>
      <c r="BZ14" s="48">
        <v>1459952.5599999998</v>
      </c>
      <c r="CA14" s="48">
        <v>1477655.16</v>
      </c>
      <c r="CB14" s="48">
        <v>1495357.76</v>
      </c>
      <c r="CC14" s="48">
        <v>1513060.36</v>
      </c>
      <c r="CD14" s="69">
        <v>1530762.9600000002</v>
      </c>
      <c r="CE14" s="69">
        <v>1548465.5600000003</v>
      </c>
      <c r="CF14" s="69">
        <v>1566168.1600000004</v>
      </c>
      <c r="CG14" s="69">
        <v>1607468.3200000003</v>
      </c>
      <c r="CH14" s="69">
        <v>1625216.2000000002</v>
      </c>
      <c r="CI14" s="69">
        <v>1642964.08</v>
      </c>
      <c r="CJ14" s="69">
        <v>1660711.96</v>
      </c>
      <c r="CK14" s="69">
        <v>1678459.8399999999</v>
      </c>
      <c r="CL14" s="69">
        <v>1697670.0699999998</v>
      </c>
      <c r="CM14" s="69">
        <v>1716880.2999999998</v>
      </c>
      <c r="CN14" s="69">
        <v>1736090.5299999998</v>
      </c>
      <c r="CO14" s="69">
        <v>1755300.7599999998</v>
      </c>
      <c r="CP14" s="69">
        <v>1774510.9899999998</v>
      </c>
      <c r="CQ14" s="69">
        <v>1793721.2199999997</v>
      </c>
      <c r="CR14" s="69">
        <v>1812931.4499999997</v>
      </c>
      <c r="CS14" s="69">
        <v>1857748.9299999997</v>
      </c>
      <c r="CT14" s="69">
        <v>1876989.5599999996</v>
      </c>
      <c r="CU14" s="69">
        <v>1896241.2299999995</v>
      </c>
      <c r="CV14" s="69">
        <v>1915492.8999999994</v>
      </c>
      <c r="CW14" s="69">
        <v>1934744.5699999994</v>
      </c>
      <c r="CX14" s="69">
        <v>1953996.2399999993</v>
      </c>
      <c r="CY14" s="69">
        <v>1973247.9099999992</v>
      </c>
      <c r="CZ14" s="69">
        <v>1992499.5799999991</v>
      </c>
      <c r="DA14" s="69">
        <v>2011751.249999999</v>
      </c>
      <c r="DB14" s="69">
        <v>2031002.919999999</v>
      </c>
      <c r="DC14" s="69">
        <v>2050254.589999999</v>
      </c>
      <c r="DD14" s="69">
        <v>2069506.2599999988</v>
      </c>
      <c r="DE14" s="69">
        <v>2114420.399999999</v>
      </c>
      <c r="DF14" s="69">
        <v>2135582.479999999</v>
      </c>
      <c r="DG14" s="69">
        <v>2156744.559999999</v>
      </c>
      <c r="DH14" s="69">
        <v>2177906.639999999</v>
      </c>
      <c r="DI14" s="69">
        <v>2199068.7199999993</v>
      </c>
      <c r="DJ14" s="69">
        <v>2220230.7999999993</v>
      </c>
      <c r="DK14" s="69">
        <v>2241392.8799999994</v>
      </c>
      <c r="DL14" s="69">
        <v>2262554.9599999995</v>
      </c>
      <c r="DM14" s="69">
        <v>2283717.0399999996</v>
      </c>
      <c r="DN14" s="69">
        <v>2304879.1199999996</v>
      </c>
      <c r="DO14" s="69">
        <v>2326041.1999999997</v>
      </c>
      <c r="DP14" s="69">
        <v>2347203.28</v>
      </c>
      <c r="DQ14" s="69">
        <v>2396574.42</v>
      </c>
      <c r="DR14" s="69">
        <v>2417736.5</v>
      </c>
      <c r="DS14" s="69">
        <v>2438898.58</v>
      </c>
      <c r="DT14" s="69">
        <v>2460060.66</v>
      </c>
      <c r="DU14" s="69">
        <v>2483341.48</v>
      </c>
      <c r="DV14" s="69">
        <v>2506622.3</v>
      </c>
      <c r="DW14" s="69">
        <v>2529903.1199999996</v>
      </c>
      <c r="DX14" s="69">
        <v>2553183.9399999995</v>
      </c>
      <c r="DY14" s="69">
        <v>2576464.7599999993</v>
      </c>
      <c r="DZ14" s="69">
        <v>2599745.579999999</v>
      </c>
      <c r="EA14" s="69">
        <v>2623026.399999999</v>
      </c>
      <c r="EB14" s="69">
        <v>2646307.219999999</v>
      </c>
      <c r="EC14" s="69">
        <v>2700621.379999999</v>
      </c>
      <c r="ED14" s="69">
        <v>2723902.199999999</v>
      </c>
      <c r="EE14" s="69">
        <v>2747183.0199999986</v>
      </c>
      <c r="EF14" s="69">
        <v>2770463.8399999985</v>
      </c>
      <c r="EG14" s="69">
        <v>2793744.6599999983</v>
      </c>
      <c r="EH14" s="69">
        <v>2817025.479999998</v>
      </c>
      <c r="EI14" s="69">
        <v>2840306.299999998</v>
      </c>
      <c r="EJ14" s="69">
        <v>2863587.119999998</v>
      </c>
      <c r="EK14" s="69">
        <v>2886867.9399999976</v>
      </c>
      <c r="EL14" s="69">
        <v>2910148.7599999974</v>
      </c>
      <c r="EM14" s="69">
        <v>2933429.5799999973</v>
      </c>
      <c r="EN14" s="69">
        <v>2956710.399999997</v>
      </c>
      <c r="EO14" s="69">
        <v>3011024.5599999973</v>
      </c>
    </row>
    <row r="15">
      <c r="A15" s="68" t="s">
        <v>52</v>
      </c>
      <c r="B15" s="48">
        <v>7180.5</v>
      </c>
      <c r="C15" s="48">
        <v>14361.0</v>
      </c>
      <c r="D15" s="48">
        <v>21541.5</v>
      </c>
      <c r="E15" s="48">
        <v>28722.0</v>
      </c>
      <c r="F15" s="48">
        <v>35902.5</v>
      </c>
      <c r="G15" s="48">
        <v>43083.0</v>
      </c>
      <c r="H15" s="48">
        <v>50263.5</v>
      </c>
      <c r="I15" s="48">
        <v>57791.11</v>
      </c>
      <c r="J15" s="48">
        <v>65318.72</v>
      </c>
      <c r="K15" s="48">
        <v>72846.33</v>
      </c>
      <c r="L15" s="48">
        <v>80373.94</v>
      </c>
      <c r="M15" s="48">
        <v>97935.85</v>
      </c>
      <c r="N15" s="48">
        <v>105928.15000000001</v>
      </c>
      <c r="O15" s="48">
        <v>113920.45000000001</v>
      </c>
      <c r="P15" s="48">
        <v>121912.75000000001</v>
      </c>
      <c r="Q15" s="48">
        <v>129905.05000000002</v>
      </c>
      <c r="R15" s="48">
        <v>137897.35</v>
      </c>
      <c r="S15" s="48">
        <v>145889.65</v>
      </c>
      <c r="T15" s="48">
        <v>153881.94999999998</v>
      </c>
      <c r="U15" s="48">
        <v>161874.24999999997</v>
      </c>
      <c r="V15" s="48">
        <v>169866.54999999996</v>
      </c>
      <c r="W15" s="48">
        <v>177858.84999999995</v>
      </c>
      <c r="X15" s="48">
        <v>185851.14999999994</v>
      </c>
      <c r="Y15" s="48">
        <v>204497.18999999994</v>
      </c>
      <c r="Z15" s="48">
        <v>212962.42999999993</v>
      </c>
      <c r="AA15" s="48">
        <v>221427.66999999993</v>
      </c>
      <c r="AB15" s="48">
        <v>229892.90999999992</v>
      </c>
      <c r="AC15" s="48">
        <v>238358.1499999999</v>
      </c>
      <c r="AD15" s="48">
        <v>246823.3899999999</v>
      </c>
      <c r="AE15" s="48">
        <v>255288.6299999999</v>
      </c>
      <c r="AF15" s="48">
        <v>263753.8699999999</v>
      </c>
      <c r="AG15" s="48">
        <v>272219.10999999987</v>
      </c>
      <c r="AH15" s="48">
        <v>280684.34999999986</v>
      </c>
      <c r="AI15" s="48">
        <v>289149.58999999985</v>
      </c>
      <c r="AJ15" s="48">
        <v>297614.82999999984</v>
      </c>
      <c r="AK15" s="48">
        <v>317364.22999999986</v>
      </c>
      <c r="AL15" s="48">
        <v>326308.6299999999</v>
      </c>
      <c r="AM15" s="48">
        <v>335253.0299999999</v>
      </c>
      <c r="AN15" s="48">
        <v>344197.42999999993</v>
      </c>
      <c r="AO15" s="48">
        <v>353141.82999999996</v>
      </c>
      <c r="AP15" s="48">
        <v>362086.23</v>
      </c>
      <c r="AQ15" s="48">
        <v>371030.63</v>
      </c>
      <c r="AR15" s="48">
        <v>379975.03</v>
      </c>
      <c r="AS15" s="48">
        <v>388919.43000000005</v>
      </c>
      <c r="AT15" s="48">
        <v>397863.8300000001</v>
      </c>
      <c r="AU15" s="48">
        <v>406808.2300000001</v>
      </c>
      <c r="AV15" s="48">
        <v>415752.6300000001</v>
      </c>
      <c r="AW15" s="48">
        <v>436619.90000000014</v>
      </c>
      <c r="AX15" s="48">
        <v>445564.30000000016</v>
      </c>
      <c r="AY15" s="48">
        <v>454508.7000000002</v>
      </c>
      <c r="AZ15" s="48">
        <v>463381.8800000002</v>
      </c>
      <c r="BA15" s="48">
        <v>472255.0600000002</v>
      </c>
      <c r="BB15" s="48">
        <v>481128.24000000017</v>
      </c>
      <c r="BC15" s="48">
        <v>490001.42000000016</v>
      </c>
      <c r="BD15" s="48">
        <v>498874.60000000015</v>
      </c>
      <c r="BE15" s="48">
        <v>507747.78000000014</v>
      </c>
      <c r="BF15" s="48">
        <v>516620.96000000014</v>
      </c>
      <c r="BG15" s="48">
        <v>525494.1400000001</v>
      </c>
      <c r="BH15" s="48">
        <v>534367.3200000002</v>
      </c>
      <c r="BI15" s="48">
        <v>555068.4500000002</v>
      </c>
      <c r="BJ15" s="48">
        <v>563977.2700000001</v>
      </c>
      <c r="BK15" s="48">
        <v>572886.0900000001</v>
      </c>
      <c r="BL15" s="48">
        <v>581794.91</v>
      </c>
      <c r="BM15" s="48">
        <v>590703.73</v>
      </c>
      <c r="BN15" s="48">
        <v>599612.5499999999</v>
      </c>
      <c r="BO15" s="48">
        <v>608521.3699999999</v>
      </c>
      <c r="BP15" s="48">
        <v>617430.1899999998</v>
      </c>
      <c r="BQ15" s="48">
        <v>626339.0099999998</v>
      </c>
      <c r="BR15" s="48">
        <v>635247.8299999997</v>
      </c>
      <c r="BS15" s="48">
        <v>644156.6499999997</v>
      </c>
      <c r="BT15" s="48">
        <v>653065.4699999996</v>
      </c>
      <c r="BU15" s="48">
        <v>673849.7499999997</v>
      </c>
      <c r="BV15" s="48">
        <v>682828.6999999996</v>
      </c>
      <c r="BW15" s="48">
        <v>691807.6499999996</v>
      </c>
      <c r="BX15" s="48">
        <v>700786.5999999995</v>
      </c>
      <c r="BY15" s="48">
        <v>709765.5499999995</v>
      </c>
      <c r="BZ15" s="48">
        <v>718744.4999999994</v>
      </c>
      <c r="CA15" s="48">
        <v>727723.4499999994</v>
      </c>
      <c r="CB15" s="48">
        <v>736702.3999999993</v>
      </c>
      <c r="CC15" s="48">
        <v>745681.3499999993</v>
      </c>
      <c r="CD15" s="69">
        <v>754660.2999999992</v>
      </c>
      <c r="CE15" s="69">
        <v>763639.2499999992</v>
      </c>
      <c r="CF15" s="69">
        <v>772618.1999999991</v>
      </c>
      <c r="CG15" s="69">
        <v>793566.0899999992</v>
      </c>
      <c r="CH15" s="69">
        <v>802590.3199999991</v>
      </c>
      <c r="CI15" s="69">
        <v>811614.5499999991</v>
      </c>
      <c r="CJ15" s="69">
        <v>820638.7799999991</v>
      </c>
      <c r="CK15" s="69">
        <v>829663.0099999991</v>
      </c>
      <c r="CL15" s="69">
        <v>839364.459999999</v>
      </c>
      <c r="CM15" s="69">
        <v>849065.909999999</v>
      </c>
      <c r="CN15" s="69">
        <v>858767.3599999989</v>
      </c>
      <c r="CO15" s="69">
        <v>868468.8099999989</v>
      </c>
      <c r="CP15" s="69">
        <v>878170.2599999988</v>
      </c>
      <c r="CQ15" s="69">
        <v>887871.7099999988</v>
      </c>
      <c r="CR15" s="69">
        <v>897573.1599999988</v>
      </c>
      <c r="CS15" s="69">
        <v>920206.6499999987</v>
      </c>
      <c r="CT15" s="69">
        <v>929938.4999999987</v>
      </c>
      <c r="CU15" s="69">
        <v>939681.3899999987</v>
      </c>
      <c r="CV15" s="69">
        <v>949424.2799999987</v>
      </c>
      <c r="CW15" s="69">
        <v>959167.1699999988</v>
      </c>
      <c r="CX15" s="69">
        <v>968910.0599999988</v>
      </c>
      <c r="CY15" s="69">
        <v>978652.9499999988</v>
      </c>
      <c r="CZ15" s="69">
        <v>988395.8399999988</v>
      </c>
      <c r="DA15" s="69">
        <v>998138.7299999988</v>
      </c>
      <c r="DB15" s="69">
        <v>1007881.6199999988</v>
      </c>
      <c r="DC15" s="69">
        <v>1017624.5099999988</v>
      </c>
      <c r="DD15" s="69">
        <v>1027367.3999999989</v>
      </c>
      <c r="DE15" s="69">
        <v>1050097.5499999989</v>
      </c>
      <c r="DF15" s="69">
        <v>1060750.059999999</v>
      </c>
      <c r="DG15" s="69">
        <v>1071402.569999999</v>
      </c>
      <c r="DH15" s="69">
        <v>1082055.079999999</v>
      </c>
      <c r="DI15" s="69">
        <v>1092707.589999999</v>
      </c>
      <c r="DJ15" s="69">
        <v>1103360.099999999</v>
      </c>
      <c r="DK15" s="69">
        <v>1114012.609999999</v>
      </c>
      <c r="DL15" s="69">
        <v>1124665.119999999</v>
      </c>
      <c r="DM15" s="69">
        <v>1135317.629999999</v>
      </c>
      <c r="DN15" s="69">
        <v>1145970.139999999</v>
      </c>
      <c r="DO15" s="69">
        <v>1156622.649999999</v>
      </c>
      <c r="DP15" s="69">
        <v>1167275.159999999</v>
      </c>
      <c r="DQ15" s="69">
        <v>1192127.469999999</v>
      </c>
      <c r="DR15" s="69">
        <v>1202779.979999999</v>
      </c>
      <c r="DS15" s="69">
        <v>1213432.489999999</v>
      </c>
      <c r="DT15" s="69">
        <v>1224084.999999999</v>
      </c>
      <c r="DU15" s="69">
        <v>1235750.429999999</v>
      </c>
      <c r="DV15" s="69">
        <v>1247415.859999999</v>
      </c>
      <c r="DW15" s="69">
        <v>1259081.2899999989</v>
      </c>
      <c r="DX15" s="69">
        <v>1270746.7199999988</v>
      </c>
      <c r="DY15" s="69">
        <v>1282412.1499999987</v>
      </c>
      <c r="DZ15" s="69">
        <v>1294077.5799999987</v>
      </c>
      <c r="EA15" s="69">
        <v>1305743.0099999986</v>
      </c>
      <c r="EB15" s="69">
        <v>1317408.4399999985</v>
      </c>
      <c r="EC15" s="69">
        <v>1344623.8899999985</v>
      </c>
      <c r="ED15" s="69">
        <v>1356289.3199999984</v>
      </c>
      <c r="EE15" s="69">
        <v>1367954.7499999984</v>
      </c>
      <c r="EF15" s="69">
        <v>1379620.1799999983</v>
      </c>
      <c r="EG15" s="69">
        <v>1391285.6099999982</v>
      </c>
      <c r="EH15" s="69">
        <v>1402951.0399999982</v>
      </c>
      <c r="EI15" s="69">
        <v>1414616.469999998</v>
      </c>
      <c r="EJ15" s="69">
        <v>1426281.899999998</v>
      </c>
      <c r="EK15" s="69">
        <v>1437947.329999998</v>
      </c>
      <c r="EL15" s="69">
        <v>1449612.759999998</v>
      </c>
      <c r="EM15" s="69">
        <v>1461278.1899999978</v>
      </c>
      <c r="EN15" s="69">
        <v>1472943.6199999978</v>
      </c>
      <c r="EO15" s="69">
        <v>1500159.0699999977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1" width="11.75"/>
    <col customWidth="1" min="12" max="19" width="12.0"/>
    <col customWidth="1" min="20" max="20" width="5.0"/>
    <col customWidth="1" min="21" max="21" width="18.38"/>
    <col customWidth="1" min="22" max="22" width="5.75"/>
    <col customWidth="1" min="23" max="23" width="7.5"/>
    <col customWidth="1" min="24" max="24" width="5.0"/>
    <col customWidth="1" min="25" max="25" width="17.88"/>
    <col customWidth="1" min="26" max="26" width="6.63"/>
    <col customWidth="1" min="27" max="27" width="8.38"/>
    <col customWidth="1" min="28" max="28" width="7.5"/>
  </cols>
  <sheetData>
    <row r="1">
      <c r="A1" s="32" t="s">
        <v>9</v>
      </c>
      <c r="B1" s="33" t="s">
        <v>75</v>
      </c>
      <c r="C1" s="33" t="s">
        <v>76</v>
      </c>
      <c r="D1" s="33" t="s">
        <v>77</v>
      </c>
      <c r="E1" s="33" t="s">
        <v>78</v>
      </c>
      <c r="F1" s="33" t="s">
        <v>79</v>
      </c>
      <c r="G1" s="33" t="s">
        <v>80</v>
      </c>
      <c r="H1" s="33" t="s">
        <v>81</v>
      </c>
      <c r="I1" s="33" t="s">
        <v>82</v>
      </c>
      <c r="J1" s="33" t="s">
        <v>83</v>
      </c>
      <c r="K1" s="33" t="s">
        <v>84</v>
      </c>
      <c r="L1" s="33" t="s">
        <v>85</v>
      </c>
      <c r="M1" s="33" t="s">
        <v>86</v>
      </c>
      <c r="N1" s="33" t="s">
        <v>87</v>
      </c>
      <c r="O1" s="33" t="s">
        <v>88</v>
      </c>
      <c r="P1" s="33" t="s">
        <v>89</v>
      </c>
      <c r="Q1" s="33" t="s">
        <v>90</v>
      </c>
      <c r="R1" s="33" t="s">
        <v>91</v>
      </c>
      <c r="S1" s="33" t="s">
        <v>92</v>
      </c>
      <c r="AB1" s="47"/>
    </row>
    <row r="2">
      <c r="A2" s="34">
        <v>42370.0</v>
      </c>
      <c r="B2" s="48">
        <f t="shared" ref="B2:B27" si="2">L2+M2</f>
        <v>22516.94</v>
      </c>
      <c r="C2" s="48">
        <f t="shared" ref="C2:C27" si="3">F2/95%</f>
        <v>22516.94737</v>
      </c>
      <c r="D2" s="48">
        <f t="shared" ref="D2:D27" si="4">N2+O2</f>
        <v>22516.88</v>
      </c>
      <c r="E2" s="48">
        <f t="shared" ref="E2:E27" si="5">F2/95%</f>
        <v>22516.94737</v>
      </c>
      <c r="F2" s="48">
        <v>21391.1</v>
      </c>
      <c r="G2" s="48">
        <f t="shared" ref="G2:G27" si="6">P2+ROUND((Q2/13.33333)*13,2)</f>
        <v>15398.418</v>
      </c>
      <c r="H2" s="48">
        <f t="shared" ref="H2:H10" si="7">((C2-ROUND(C2*$V$3,2))*(100%-$Z$7))+$AB$7</f>
        <v>15398.42334</v>
      </c>
      <c r="I2" s="48">
        <f t="shared" ref="I2:I27" si="8">R2+ROUND((S2/13.33333)*12,2)</f>
        <v>15398.3745</v>
      </c>
      <c r="J2" s="48">
        <f t="shared" ref="J2:K2" si="1">((E2-ROUND(E2*$V$3,2))*(100%-$Z$7))+$AB$7</f>
        <v>15398.42334</v>
      </c>
      <c r="K2" s="48">
        <f t="shared" si="1"/>
        <v>14671.968</v>
      </c>
      <c r="L2" s="48">
        <v>22516.94</v>
      </c>
      <c r="M2" s="48">
        <v>0.0</v>
      </c>
      <c r="N2" s="48">
        <v>22516.88</v>
      </c>
      <c r="O2" s="48">
        <v>0.0</v>
      </c>
      <c r="P2" s="48">
        <f t="shared" ref="P2:P10" si="10">((L2-ROUND(L2*$V$3,2))*(100%-$Z$7))+$AB$7</f>
        <v>15398.418</v>
      </c>
      <c r="Q2" s="48">
        <f t="shared" ref="Q2:Q16" si="11">M2*(100%-$Z$7)</f>
        <v>0</v>
      </c>
      <c r="R2" s="48">
        <f t="shared" ref="R2:R10" si="12">((N2-ROUND(N2*$V$3,2))*(100%-$Z$7))+$AB$7</f>
        <v>15398.3745</v>
      </c>
      <c r="S2" s="48">
        <f t="shared" ref="S2:S16" si="13">O2*(100%-$Z$7)</f>
        <v>0</v>
      </c>
      <c r="U2" s="49" t="s">
        <v>65</v>
      </c>
      <c r="Y2" s="50" t="s">
        <v>66</v>
      </c>
      <c r="AB2" s="47"/>
    </row>
    <row r="3">
      <c r="A3" s="34">
        <v>42583.0</v>
      </c>
      <c r="B3" s="48">
        <f t="shared" si="2"/>
        <v>26755.37</v>
      </c>
      <c r="C3" s="48">
        <f t="shared" si="3"/>
        <v>23755.37895</v>
      </c>
      <c r="D3" s="48">
        <f t="shared" si="4"/>
        <v>22516.88</v>
      </c>
      <c r="E3" s="48">
        <f t="shared" si="5"/>
        <v>23755.37895</v>
      </c>
      <c r="F3" s="48">
        <v>22567.61</v>
      </c>
      <c r="G3" s="48">
        <f t="shared" si="6"/>
        <v>18318.143</v>
      </c>
      <c r="H3" s="48">
        <f t="shared" si="7"/>
        <v>16197.51949</v>
      </c>
      <c r="I3" s="48">
        <f t="shared" si="8"/>
        <v>15398.3745</v>
      </c>
      <c r="J3" s="48">
        <f t="shared" ref="J3:K3" si="9">((E3-ROUND(E3*$V$3,2))*(100%-$Z$7))+$AB$7</f>
        <v>16197.51949</v>
      </c>
      <c r="K3" s="48">
        <f t="shared" si="9"/>
        <v>15431.10825</v>
      </c>
      <c r="L3" s="48">
        <v>23755.37</v>
      </c>
      <c r="M3" s="48">
        <v>3000.0</v>
      </c>
      <c r="N3" s="48">
        <f>N2</f>
        <v>22516.88</v>
      </c>
      <c r="O3" s="48">
        <v>0.0</v>
      </c>
      <c r="P3" s="48">
        <f t="shared" si="10"/>
        <v>16197.513</v>
      </c>
      <c r="Q3" s="48">
        <f t="shared" si="11"/>
        <v>2175</v>
      </c>
      <c r="R3" s="48">
        <f t="shared" si="12"/>
        <v>15398.3745</v>
      </c>
      <c r="S3" s="48">
        <f t="shared" si="13"/>
        <v>0</v>
      </c>
      <c r="U3" s="51">
        <v>27369.67</v>
      </c>
      <c r="V3" s="52">
        <v>0.11</v>
      </c>
      <c r="W3" s="51">
        <f>ROUND(U3*V3,2)</f>
        <v>3010.66</v>
      </c>
      <c r="Y3" s="51">
        <v>1903.98</v>
      </c>
      <c r="Z3" s="53">
        <v>0.0</v>
      </c>
      <c r="AA3" s="51">
        <f>Y3*Z3</f>
        <v>0</v>
      </c>
      <c r="AB3" s="51">
        <v>0.0</v>
      </c>
    </row>
    <row r="4">
      <c r="A4" s="34">
        <v>42614.0</v>
      </c>
      <c r="B4" s="48">
        <f t="shared" si="2"/>
        <v>26755.37</v>
      </c>
      <c r="C4" s="48">
        <f t="shared" si="3"/>
        <v>23755.37895</v>
      </c>
      <c r="D4" s="48">
        <f t="shared" si="4"/>
        <v>25516.88</v>
      </c>
      <c r="E4" s="48">
        <f t="shared" si="5"/>
        <v>23755.37895</v>
      </c>
      <c r="F4" s="48">
        <f t="shared" ref="F4:F5" si="16">F3</f>
        <v>22567.61</v>
      </c>
      <c r="G4" s="48">
        <f t="shared" si="6"/>
        <v>18318.143</v>
      </c>
      <c r="H4" s="48">
        <f t="shared" si="7"/>
        <v>16197.51949</v>
      </c>
      <c r="I4" s="48">
        <f t="shared" si="8"/>
        <v>17355.8745</v>
      </c>
      <c r="J4" s="48">
        <f t="shared" ref="J4:K4" si="14">((E4-ROUND(E4*$V$3,2))*(100%-$Z$7))+$AB$7</f>
        <v>16197.51949</v>
      </c>
      <c r="K4" s="48">
        <f t="shared" si="14"/>
        <v>15431.10825</v>
      </c>
      <c r="L4" s="48">
        <f t="shared" ref="L4:N4" si="15">L3</f>
        <v>23755.37</v>
      </c>
      <c r="M4" s="48">
        <f t="shared" si="15"/>
        <v>3000</v>
      </c>
      <c r="N4" s="48">
        <f t="shared" si="15"/>
        <v>22516.88</v>
      </c>
      <c r="O4" s="48">
        <v>3000.0</v>
      </c>
      <c r="P4" s="48">
        <f t="shared" si="10"/>
        <v>16197.513</v>
      </c>
      <c r="Q4" s="48">
        <f t="shared" si="11"/>
        <v>2175</v>
      </c>
      <c r="R4" s="48">
        <f t="shared" si="12"/>
        <v>15398.3745</v>
      </c>
      <c r="S4" s="48">
        <f t="shared" si="13"/>
        <v>2175</v>
      </c>
      <c r="Y4" s="51">
        <v>2826.65</v>
      </c>
      <c r="Z4" s="53">
        <v>0.075</v>
      </c>
      <c r="AA4" s="51">
        <f t="shared" ref="AA4:AA7" si="19">ROUND((Y4-Y3)*Z4,2)</f>
        <v>69.2</v>
      </c>
      <c r="AB4" s="51">
        <v>142.8</v>
      </c>
    </row>
    <row r="5">
      <c r="A5" s="34">
        <v>42734.0</v>
      </c>
      <c r="B5" s="48">
        <f t="shared" si="2"/>
        <v>26755.37</v>
      </c>
      <c r="C5" s="48">
        <f t="shared" si="3"/>
        <v>23755.37895</v>
      </c>
      <c r="D5" s="48">
        <f t="shared" si="4"/>
        <v>26755.31</v>
      </c>
      <c r="E5" s="48">
        <f t="shared" si="5"/>
        <v>23755.37895</v>
      </c>
      <c r="F5" s="48">
        <f t="shared" si="16"/>
        <v>22567.61</v>
      </c>
      <c r="G5" s="48">
        <f t="shared" si="6"/>
        <v>18318.143</v>
      </c>
      <c r="H5" s="48">
        <f t="shared" si="7"/>
        <v>16197.51949</v>
      </c>
      <c r="I5" s="48">
        <f t="shared" si="8"/>
        <v>18154.97675</v>
      </c>
      <c r="J5" s="48">
        <f t="shared" ref="J5:K5" si="17">((E5-ROUND(E5*$V$3,2))*(100%-$Z$7))+$AB$7</f>
        <v>16197.51949</v>
      </c>
      <c r="K5" s="48">
        <f t="shared" si="17"/>
        <v>15431.10825</v>
      </c>
      <c r="L5" s="48">
        <f t="shared" ref="L5:M5" si="18">L4</f>
        <v>23755.37</v>
      </c>
      <c r="M5" s="48">
        <f t="shared" si="18"/>
        <v>3000</v>
      </c>
      <c r="N5" s="48">
        <v>23755.31</v>
      </c>
      <c r="O5" s="48">
        <f t="shared" ref="O5:O7" si="21">O4</f>
        <v>3000</v>
      </c>
      <c r="P5" s="48">
        <f t="shared" si="10"/>
        <v>16197.513</v>
      </c>
      <c r="Q5" s="48">
        <f t="shared" si="11"/>
        <v>2175</v>
      </c>
      <c r="R5" s="48">
        <f t="shared" si="12"/>
        <v>16197.47675</v>
      </c>
      <c r="S5" s="48">
        <f t="shared" si="13"/>
        <v>2175</v>
      </c>
      <c r="U5" s="54">
        <f>W5/U3</f>
        <v>0.1099998648</v>
      </c>
      <c r="W5" s="47">
        <f>SUM(W3)</f>
        <v>3010.66</v>
      </c>
      <c r="Y5" s="51">
        <v>3751.05</v>
      </c>
      <c r="Z5" s="53">
        <v>0.15</v>
      </c>
      <c r="AA5" s="51">
        <f t="shared" si="19"/>
        <v>138.66</v>
      </c>
      <c r="AB5" s="51">
        <v>354.8</v>
      </c>
    </row>
    <row r="6">
      <c r="A6" s="34">
        <v>42736.0</v>
      </c>
      <c r="B6" s="48">
        <f t="shared" si="2"/>
        <v>28605.64</v>
      </c>
      <c r="C6" s="48">
        <f t="shared" si="3"/>
        <v>25413.32632</v>
      </c>
      <c r="D6" s="48">
        <f t="shared" si="4"/>
        <v>27943.07</v>
      </c>
      <c r="E6" s="48">
        <f t="shared" si="5"/>
        <v>25413.32632</v>
      </c>
      <c r="F6" s="48">
        <v>24142.66</v>
      </c>
      <c r="G6" s="48">
        <f t="shared" si="6"/>
        <v>19552.84775</v>
      </c>
      <c r="H6" s="48">
        <f t="shared" si="7"/>
        <v>17267.30583</v>
      </c>
      <c r="I6" s="48">
        <f t="shared" si="8"/>
        <v>18921.37425</v>
      </c>
      <c r="J6" s="48">
        <f t="shared" ref="J6:K6" si="20">((E6-ROUND(E6*$V$3,2))*(100%-$Z$7))+$AB$7</f>
        <v>17267.30583</v>
      </c>
      <c r="K6" s="48">
        <f t="shared" si="20"/>
        <v>16447.41325</v>
      </c>
      <c r="L6" s="48">
        <v>24943.14</v>
      </c>
      <c r="M6" s="48">
        <v>3662.5</v>
      </c>
      <c r="N6" s="48">
        <v>24943.07</v>
      </c>
      <c r="O6" s="48">
        <f t="shared" si="21"/>
        <v>3000</v>
      </c>
      <c r="P6" s="48">
        <f t="shared" si="10"/>
        <v>16963.91775</v>
      </c>
      <c r="Q6" s="48">
        <f t="shared" si="11"/>
        <v>2655.3125</v>
      </c>
      <c r="R6" s="48">
        <f t="shared" si="12"/>
        <v>16963.87425</v>
      </c>
      <c r="S6" s="48">
        <f t="shared" si="13"/>
        <v>2175</v>
      </c>
      <c r="Y6" s="51">
        <v>4664.68</v>
      </c>
      <c r="Z6" s="53">
        <v>0.225</v>
      </c>
      <c r="AA6" s="51">
        <f t="shared" si="19"/>
        <v>205.57</v>
      </c>
      <c r="AB6" s="51">
        <v>636.13</v>
      </c>
    </row>
    <row r="7">
      <c r="A7" s="34">
        <v>43101.0</v>
      </c>
      <c r="B7" s="48">
        <f t="shared" si="2"/>
        <v>32579.93</v>
      </c>
      <c r="C7" s="48">
        <f t="shared" si="3"/>
        <v>27100.64211</v>
      </c>
      <c r="D7" s="48">
        <f t="shared" si="4"/>
        <v>29127.87</v>
      </c>
      <c r="E7" s="48">
        <f t="shared" si="5"/>
        <v>27100.64211</v>
      </c>
      <c r="F7" s="48">
        <v>25745.61</v>
      </c>
      <c r="G7" s="48">
        <f t="shared" si="6"/>
        <v>22289.16575</v>
      </c>
      <c r="H7" s="48">
        <f t="shared" si="7"/>
        <v>18356.04978</v>
      </c>
      <c r="I7" s="48">
        <f t="shared" si="8"/>
        <v>19685.865</v>
      </c>
      <c r="J7" s="48">
        <f t="shared" ref="J7:K7" si="22">((E7-ROUND(E7*$V$3,2))*(100%-$Z$7))+$AB$7</f>
        <v>18356.04978</v>
      </c>
      <c r="K7" s="48">
        <f t="shared" si="22"/>
        <v>17481.71275</v>
      </c>
      <c r="L7" s="48">
        <v>26127.94</v>
      </c>
      <c r="M7" s="48">
        <v>6451.99</v>
      </c>
      <c r="N7" s="48">
        <v>26127.87</v>
      </c>
      <c r="O7" s="48">
        <f t="shared" si="21"/>
        <v>3000</v>
      </c>
      <c r="P7" s="48">
        <f t="shared" si="10"/>
        <v>17728.41575</v>
      </c>
      <c r="Q7" s="48">
        <f t="shared" si="11"/>
        <v>4677.69275</v>
      </c>
      <c r="R7" s="48">
        <f t="shared" si="12"/>
        <v>17728.365</v>
      </c>
      <c r="S7" s="48">
        <f t="shared" si="13"/>
        <v>2175</v>
      </c>
      <c r="Y7" s="51">
        <f>U3-W5</f>
        <v>24359.01</v>
      </c>
      <c r="Z7" s="53">
        <v>0.275</v>
      </c>
      <c r="AA7" s="51">
        <f t="shared" si="19"/>
        <v>5415.94</v>
      </c>
      <c r="AB7" s="51">
        <v>869.36</v>
      </c>
    </row>
    <row r="8">
      <c r="A8" s="34">
        <v>43431.0</v>
      </c>
      <c r="B8" s="48">
        <f t="shared" si="2"/>
        <v>33161.23</v>
      </c>
      <c r="C8" s="48">
        <f t="shared" si="3"/>
        <v>27100.64211</v>
      </c>
      <c r="D8" s="48">
        <f t="shared" si="4"/>
        <v>29127.87</v>
      </c>
      <c r="E8" s="48">
        <f t="shared" si="5"/>
        <v>27100.64211</v>
      </c>
      <c r="F8" s="48">
        <f>F7</f>
        <v>25745.61</v>
      </c>
      <c r="G8" s="48">
        <f t="shared" si="6"/>
        <v>22700.07575</v>
      </c>
      <c r="H8" s="48">
        <f t="shared" si="7"/>
        <v>18356.04978</v>
      </c>
      <c r="I8" s="48">
        <f t="shared" si="8"/>
        <v>19685.865</v>
      </c>
      <c r="J8" s="48">
        <f t="shared" ref="J8:K8" si="23">((E8-ROUND(E8*$V$3,2))*(100%-$Z$7))+$AB$7</f>
        <v>18356.04978</v>
      </c>
      <c r="K8" s="48">
        <f t="shared" si="23"/>
        <v>17481.71275</v>
      </c>
      <c r="L8" s="48">
        <f>L7</f>
        <v>26127.94</v>
      </c>
      <c r="M8" s="48">
        <v>7033.29</v>
      </c>
      <c r="N8" s="48">
        <f t="shared" ref="N8:O8" si="24">N7</f>
        <v>26127.87</v>
      </c>
      <c r="O8" s="48">
        <f t="shared" si="24"/>
        <v>3000</v>
      </c>
      <c r="P8" s="48">
        <f t="shared" si="10"/>
        <v>17728.41575</v>
      </c>
      <c r="Q8" s="48">
        <f t="shared" si="11"/>
        <v>5099.13525</v>
      </c>
      <c r="R8" s="48">
        <f t="shared" si="12"/>
        <v>17728.365</v>
      </c>
      <c r="S8" s="48">
        <f t="shared" si="13"/>
        <v>2175</v>
      </c>
      <c r="AA8" s="47">
        <f>SUM(AA3:AA7)</f>
        <v>5829.37</v>
      </c>
      <c r="AB8" s="47"/>
    </row>
    <row r="9">
      <c r="A9" s="34">
        <v>43466.0</v>
      </c>
      <c r="B9" s="48">
        <f t="shared" si="2"/>
        <v>34520.05</v>
      </c>
      <c r="C9" s="48">
        <f t="shared" si="3"/>
        <v>28810.17895</v>
      </c>
      <c r="D9" s="48">
        <f t="shared" si="4"/>
        <v>30303.62</v>
      </c>
      <c r="E9" s="48">
        <f t="shared" si="5"/>
        <v>28810.17895</v>
      </c>
      <c r="F9" s="48">
        <v>27369.67</v>
      </c>
      <c r="G9" s="48">
        <f t="shared" si="6"/>
        <v>23588.13025</v>
      </c>
      <c r="H9" s="48">
        <f t="shared" si="7"/>
        <v>19459.12774</v>
      </c>
      <c r="I9" s="48">
        <f t="shared" si="8"/>
        <v>20444.5195</v>
      </c>
      <c r="J9" s="48">
        <f t="shared" ref="J9:K9" si="25">((E9-ROUND(E9*$V$3,2))*(100%-$Z$7))+$AB$7</f>
        <v>19459.12774</v>
      </c>
      <c r="K9" s="48">
        <f t="shared" si="25"/>
        <v>18529.64225</v>
      </c>
      <c r="L9" s="48">
        <v>27303.7</v>
      </c>
      <c r="M9" s="48">
        <v>7216.35</v>
      </c>
      <c r="N9" s="48">
        <v>27303.62</v>
      </c>
      <c r="O9" s="48">
        <f>O8</f>
        <v>3000</v>
      </c>
      <c r="P9" s="48">
        <f t="shared" si="10"/>
        <v>18487.07025</v>
      </c>
      <c r="Q9" s="48">
        <f t="shared" si="11"/>
        <v>5231.85375</v>
      </c>
      <c r="R9" s="48">
        <f t="shared" si="12"/>
        <v>18487.0195</v>
      </c>
      <c r="S9" s="48">
        <f t="shared" si="13"/>
        <v>2175</v>
      </c>
      <c r="Y9" s="47">
        <f>Y7*Z7-AB7</f>
        <v>5829.36775</v>
      </c>
      <c r="Z9" s="55">
        <f>Y9-AA8</f>
        <v>-0.00225</v>
      </c>
    </row>
    <row r="10">
      <c r="A10" s="34">
        <v>43831.0</v>
      </c>
      <c r="B10" s="48">
        <f t="shared" si="2"/>
        <v>35153.7</v>
      </c>
      <c r="C10" s="48">
        <f t="shared" si="3"/>
        <v>28810.17895</v>
      </c>
      <c r="D10" s="48">
        <f t="shared" si="4"/>
        <v>30303.62</v>
      </c>
      <c r="E10" s="48">
        <f t="shared" si="5"/>
        <v>28810.17895</v>
      </c>
      <c r="F10" s="48">
        <f t="shared" ref="F10:F16" si="28">F9</f>
        <v>27369.67</v>
      </c>
      <c r="G10" s="48">
        <f t="shared" si="6"/>
        <v>24036.04025</v>
      </c>
      <c r="H10" s="48">
        <f t="shared" si="7"/>
        <v>19459.12774</v>
      </c>
      <c r="I10" s="48">
        <f t="shared" si="8"/>
        <v>20444.5195</v>
      </c>
      <c r="J10" s="48">
        <f t="shared" ref="J10:K10" si="26">((E10-ROUND(E10*$V$3,2))*(100%-$Z$7))+$AB$7</f>
        <v>19459.12774</v>
      </c>
      <c r="K10" s="48">
        <f t="shared" si="26"/>
        <v>18529.64225</v>
      </c>
      <c r="L10" s="48">
        <f t="shared" ref="L10:L16" si="30">L9</f>
        <v>27303.7</v>
      </c>
      <c r="M10" s="48">
        <v>7850.0</v>
      </c>
      <c r="N10" s="48">
        <f t="shared" ref="N10:O10" si="27">N9</f>
        <v>27303.62</v>
      </c>
      <c r="O10" s="48">
        <f t="shared" si="27"/>
        <v>3000</v>
      </c>
      <c r="P10" s="48">
        <f t="shared" si="10"/>
        <v>18487.07025</v>
      </c>
      <c r="Q10" s="48">
        <f t="shared" si="11"/>
        <v>5691.25</v>
      </c>
      <c r="R10" s="48">
        <f t="shared" si="12"/>
        <v>18487.0195</v>
      </c>
      <c r="S10" s="48">
        <f t="shared" si="13"/>
        <v>2175</v>
      </c>
      <c r="Y10" s="54">
        <f>AA10/U3</f>
        <v>0.6770136432</v>
      </c>
      <c r="Z10" s="54">
        <f>AA8/Y7</f>
        <v>0.2393106288</v>
      </c>
      <c r="AA10" s="47">
        <f>Y7-AA8</f>
        <v>18529.64</v>
      </c>
    </row>
    <row r="11">
      <c r="A11" s="34">
        <v>43891.0</v>
      </c>
      <c r="B11" s="48">
        <f t="shared" si="2"/>
        <v>35444.4</v>
      </c>
      <c r="C11" s="48">
        <f t="shared" si="3"/>
        <v>28810.17895</v>
      </c>
      <c r="D11" s="48">
        <f t="shared" si="4"/>
        <v>30303.62</v>
      </c>
      <c r="E11" s="48">
        <f t="shared" si="5"/>
        <v>28810.17895</v>
      </c>
      <c r="F11" s="48">
        <f t="shared" si="28"/>
        <v>27369.67</v>
      </c>
      <c r="G11" s="48">
        <f t="shared" si="6"/>
        <v>23312.5515</v>
      </c>
      <c r="H11" s="48">
        <f>((C11-(ROUND((C11-$U$18)*$V$19,2)+SUM($W$13:$W$18)))*(100%-$Z$7))+$AB$7</f>
        <v>18442.77199</v>
      </c>
      <c r="I11" s="48">
        <f t="shared" si="8"/>
        <v>19515.54075</v>
      </c>
      <c r="J11" s="48">
        <f t="shared" ref="J11:K11" si="29">((E11-(ROUND((E11-$U$18)*$V$19,2)+SUM($W$13:$W$18)))*(100%-$Z$7))+$AB$7</f>
        <v>18442.77199</v>
      </c>
      <c r="K11" s="48">
        <f t="shared" si="29"/>
        <v>17596.82825</v>
      </c>
      <c r="L11" s="48">
        <f t="shared" si="30"/>
        <v>27303.7</v>
      </c>
      <c r="M11" s="48">
        <f>M10+ROUND((M12-M10)/12*2,2)</f>
        <v>8140.7</v>
      </c>
      <c r="N11" s="48">
        <f t="shared" ref="N11:O11" si="31">N10</f>
        <v>27303.62</v>
      </c>
      <c r="O11" s="48">
        <f t="shared" si="31"/>
        <v>3000</v>
      </c>
      <c r="P11" s="48">
        <f>((L11-(ROUND((L11-$U$18)*$V$19,2)+SUM($W$13:$W$18)))*(100%-$Z$7))+$AB$7</f>
        <v>17558.0915</v>
      </c>
      <c r="Q11" s="48">
        <f t="shared" si="11"/>
        <v>5902.0075</v>
      </c>
      <c r="R11" s="48">
        <f>((N11-(ROUND((N11-$U$18)*$V$19,2)+SUM($W$13:$W$18)))*(100%-$Z$7))+$AB$7</f>
        <v>17558.04075</v>
      </c>
      <c r="S11" s="48">
        <f t="shared" si="13"/>
        <v>2175</v>
      </c>
    </row>
    <row r="12">
      <c r="A12" s="34">
        <v>44197.0</v>
      </c>
      <c r="B12" s="48">
        <f t="shared" si="2"/>
        <v>36897.9</v>
      </c>
      <c r="C12" s="48">
        <f t="shared" si="3"/>
        <v>28810.17895</v>
      </c>
      <c r="D12" s="48">
        <f t="shared" si="4"/>
        <v>30303.62</v>
      </c>
      <c r="E12" s="48">
        <f t="shared" si="5"/>
        <v>28810.17895</v>
      </c>
      <c r="F12" s="48">
        <f t="shared" si="28"/>
        <v>27369.67</v>
      </c>
      <c r="G12" s="48">
        <f t="shared" si="6"/>
        <v>24375.62525</v>
      </c>
      <c r="H12" s="48">
        <f>((C12-(ROUND((C12-$U$30)*$V$31,2)+SUM($W$25:$W$30)))*(100%-$Z$7))+$AB$7</f>
        <v>18478.40574</v>
      </c>
      <c r="I12" s="48">
        <f t="shared" si="8"/>
        <v>19551.18175</v>
      </c>
      <c r="J12" s="48">
        <f t="shared" ref="J12:K12" si="32">((E12-(ROUND((E12-$U$30)*$V$31,2)+SUM($W$25:$W$30)))*(100%-$Z$7))+$AB$7</f>
        <v>18478.40574</v>
      </c>
      <c r="K12" s="48">
        <f t="shared" si="32"/>
        <v>17632.46925</v>
      </c>
      <c r="L12" s="48">
        <f t="shared" si="30"/>
        <v>27303.7</v>
      </c>
      <c r="M12" s="48">
        <v>9594.2</v>
      </c>
      <c r="N12" s="48">
        <f t="shared" ref="N12:O12" si="33">N11</f>
        <v>27303.62</v>
      </c>
      <c r="O12" s="48">
        <f t="shared" si="33"/>
        <v>3000</v>
      </c>
      <c r="P12" s="48">
        <f>((L12-(ROUND((L12-$U$30)*$V$31,2)+SUM($W$25:$W$30)))*(100%-$Z$7))+$AB$7</f>
        <v>17593.72525</v>
      </c>
      <c r="Q12" s="48">
        <f t="shared" si="11"/>
        <v>6955.795</v>
      </c>
      <c r="R12" s="48">
        <f>((N12-(ROUND((N12-$U$30)*$V$31,2)+SUM($W$25:$W$30)))*(100%-$Z$7))+$AB$7</f>
        <v>17593.68175</v>
      </c>
      <c r="S12" s="48">
        <f t="shared" si="13"/>
        <v>2175</v>
      </c>
      <c r="U12" s="49" t="s">
        <v>67</v>
      </c>
      <c r="V12" s="56"/>
      <c r="W12" s="56"/>
      <c r="Y12" s="50" t="s">
        <v>66</v>
      </c>
      <c r="AB12" s="47"/>
    </row>
    <row r="13">
      <c r="A13" s="34">
        <v>44562.0</v>
      </c>
      <c r="B13" s="48">
        <f t="shared" si="2"/>
        <v>39130.31</v>
      </c>
      <c r="C13" s="48">
        <f t="shared" si="3"/>
        <v>28810.17895</v>
      </c>
      <c r="D13" s="48">
        <f t="shared" si="4"/>
        <v>30303.62</v>
      </c>
      <c r="E13" s="48">
        <f t="shared" si="5"/>
        <v>28810.17895</v>
      </c>
      <c r="F13" s="48">
        <f t="shared" si="28"/>
        <v>27369.67</v>
      </c>
      <c r="G13" s="48">
        <f t="shared" si="6"/>
        <v>26023.80175</v>
      </c>
      <c r="H13" s="48">
        <f>((C13-(ROUND((C13-$U$42)*$V$43,2)+SUM($W$37:$W$42)))*(100%-$Z$7))+$AB$7</f>
        <v>18548.53499</v>
      </c>
      <c r="I13" s="48">
        <f t="shared" si="8"/>
        <v>19621.311</v>
      </c>
      <c r="J13" s="48">
        <f t="shared" ref="J13:K13" si="34">((E13-(ROUND((E13-$U$42)*$V$43,2)+SUM($W$37:$W$42)))*(100%-$Z$7))+$AB$7</f>
        <v>18548.53499</v>
      </c>
      <c r="K13" s="48">
        <f t="shared" si="34"/>
        <v>17702.5985</v>
      </c>
      <c r="L13" s="57">
        <f t="shared" si="30"/>
        <v>27303.7</v>
      </c>
      <c r="M13" s="48">
        <v>11826.61</v>
      </c>
      <c r="N13" s="48">
        <f t="shared" ref="N13:O13" si="35">N12</f>
        <v>27303.62</v>
      </c>
      <c r="O13" s="48">
        <f t="shared" si="35"/>
        <v>3000</v>
      </c>
      <c r="P13" s="48">
        <f>((L13-(ROUND((L13-$U$42)*$V$43,2)+SUM($W$37:$W$42)))*(100%-$Z$7))+$AB$7</f>
        <v>17663.86175</v>
      </c>
      <c r="Q13" s="48">
        <f t="shared" si="11"/>
        <v>8574.29225</v>
      </c>
      <c r="R13" s="48">
        <f>((N13-(ROUND((N13-$U$42)*$V$43,2)+SUM($W$37:$W$42)))*(100%-$Z$7))+$AB$7</f>
        <v>17663.811</v>
      </c>
      <c r="S13" s="48">
        <f t="shared" si="13"/>
        <v>2175</v>
      </c>
      <c r="U13" s="51">
        <v>1045.0</v>
      </c>
      <c r="V13" s="52">
        <v>0.075</v>
      </c>
      <c r="W13" s="51">
        <f>ROUND(U13*V13,2)</f>
        <v>78.38</v>
      </c>
      <c r="Y13" s="51">
        <v>1903.98</v>
      </c>
      <c r="Z13" s="53">
        <v>0.0</v>
      </c>
      <c r="AA13" s="51">
        <f>Y13*Z13</f>
        <v>0</v>
      </c>
      <c r="AB13" s="51">
        <v>0.0</v>
      </c>
    </row>
    <row r="14">
      <c r="A14" s="34">
        <v>44927.0</v>
      </c>
      <c r="B14" s="48">
        <f t="shared" si="2"/>
        <v>39290.95</v>
      </c>
      <c r="C14" s="48">
        <f t="shared" si="3"/>
        <v>28810.17895</v>
      </c>
      <c r="D14" s="48">
        <f t="shared" si="4"/>
        <v>30303.62</v>
      </c>
      <c r="E14" s="48">
        <f t="shared" si="5"/>
        <v>28810.17895</v>
      </c>
      <c r="F14" s="48">
        <f t="shared" si="28"/>
        <v>27369.67</v>
      </c>
      <c r="G14" s="48">
        <f t="shared" si="6"/>
        <v>26182.63525</v>
      </c>
      <c r="H14" s="48">
        <f t="shared" ref="H14:H16" si="38">((C14-(ROUND((C14-$U$54)*$V$55,2)+SUM($W$49:$W$54)))*(100%-$Z$7))+$AB$7</f>
        <v>18593.81849</v>
      </c>
      <c r="I14" s="48">
        <f t="shared" si="8"/>
        <v>19666.5945</v>
      </c>
      <c r="J14" s="48">
        <f t="shared" ref="J14:K14" si="36">((E14-(ROUND((E14-$U$54)*$V$55,2)+SUM($W$49:$W$54)))*(100%-$Z$7))+$AB$7</f>
        <v>18593.81849</v>
      </c>
      <c r="K14" s="48">
        <f t="shared" si="36"/>
        <v>17747.882</v>
      </c>
      <c r="L14" s="57">
        <f t="shared" si="30"/>
        <v>27303.7</v>
      </c>
      <c r="M14" s="48">
        <v>11987.25</v>
      </c>
      <c r="N14" s="48">
        <f t="shared" ref="N14:O14" si="37">N13</f>
        <v>27303.62</v>
      </c>
      <c r="O14" s="48">
        <f t="shared" si="37"/>
        <v>3000</v>
      </c>
      <c r="P14" s="48">
        <f t="shared" ref="P14:P16" si="41">((L14-(ROUND((L14-$U$54)*$V$55,2)+SUM($W$49:$W$54)))*(100%-$Z$7))+$AB$7</f>
        <v>17709.14525</v>
      </c>
      <c r="Q14" s="48">
        <f t="shared" si="11"/>
        <v>8690.75625</v>
      </c>
      <c r="R14" s="48">
        <f t="shared" ref="R14:R16" si="42">((N14-(ROUND((N14-$U$54)*$V$55,2)+SUM($W$49:$W$54)))*(100%-$Z$7))+$AB$7</f>
        <v>17709.0945</v>
      </c>
      <c r="S14" s="48">
        <f t="shared" si="13"/>
        <v>2175</v>
      </c>
      <c r="U14" s="51">
        <v>2089.6</v>
      </c>
      <c r="V14" s="52">
        <v>0.09</v>
      </c>
      <c r="W14" s="51">
        <f t="shared" ref="W14:W19" si="43">ROUND((U14-U13)*V14,2)</f>
        <v>94.01</v>
      </c>
      <c r="Y14" s="51">
        <v>2826.65</v>
      </c>
      <c r="Z14" s="53">
        <v>0.075</v>
      </c>
      <c r="AA14" s="51">
        <f t="shared" ref="AA14:AA17" si="44">ROUND((Y14-Y13)*Z14,2)</f>
        <v>69.2</v>
      </c>
      <c r="AB14" s="51">
        <v>142.8</v>
      </c>
    </row>
    <row r="15">
      <c r="A15" s="34">
        <v>44958.0</v>
      </c>
      <c r="B15" s="48">
        <f t="shared" si="2"/>
        <v>39293.32</v>
      </c>
      <c r="C15" s="48">
        <f t="shared" si="3"/>
        <v>28810.17895</v>
      </c>
      <c r="D15" s="48">
        <f t="shared" si="4"/>
        <v>30303.62</v>
      </c>
      <c r="E15" s="48">
        <f t="shared" si="5"/>
        <v>28810.17895</v>
      </c>
      <c r="F15" s="48">
        <f t="shared" si="28"/>
        <v>27369.67</v>
      </c>
      <c r="G15" s="48">
        <f t="shared" si="6"/>
        <v>26184.30525</v>
      </c>
      <c r="H15" s="48">
        <f t="shared" si="38"/>
        <v>18593.81849</v>
      </c>
      <c r="I15" s="48">
        <f t="shared" si="8"/>
        <v>19666.5945</v>
      </c>
      <c r="J15" s="48">
        <f t="shared" ref="J15:K15" si="39">((E15-(ROUND((E15-$U$54)*$V$55,2)+SUM($W$49:$W$54)))*(100%-$Z$7))+$AB$7</f>
        <v>18593.81849</v>
      </c>
      <c r="K15" s="48">
        <f t="shared" si="39"/>
        <v>17747.882</v>
      </c>
      <c r="L15" s="57">
        <f t="shared" si="30"/>
        <v>27303.7</v>
      </c>
      <c r="M15" s="48">
        <f>11991.46-1.84</f>
        <v>11989.62</v>
      </c>
      <c r="N15" s="48">
        <f t="shared" ref="N15:O15" si="40">N14</f>
        <v>27303.62</v>
      </c>
      <c r="O15" s="48">
        <f t="shared" si="40"/>
        <v>3000</v>
      </c>
      <c r="P15" s="48">
        <f t="shared" si="41"/>
        <v>17709.14525</v>
      </c>
      <c r="Q15" s="48">
        <f t="shared" si="11"/>
        <v>8692.4745</v>
      </c>
      <c r="R15" s="48">
        <f t="shared" si="42"/>
        <v>17709.0945</v>
      </c>
      <c r="S15" s="48">
        <f t="shared" si="13"/>
        <v>2175</v>
      </c>
      <c r="U15" s="51">
        <v>3134.4</v>
      </c>
      <c r="V15" s="52">
        <v>0.12</v>
      </c>
      <c r="W15" s="51">
        <f t="shared" si="43"/>
        <v>125.38</v>
      </c>
      <c r="Y15" s="51">
        <v>3751.05</v>
      </c>
      <c r="Z15" s="53">
        <v>0.15</v>
      </c>
      <c r="AA15" s="51">
        <f t="shared" si="44"/>
        <v>138.66</v>
      </c>
      <c r="AB15" s="51">
        <v>354.8</v>
      </c>
    </row>
    <row r="16">
      <c r="A16" s="34">
        <v>45017.0</v>
      </c>
      <c r="B16" s="48">
        <f t="shared" si="2"/>
        <v>41402.53</v>
      </c>
      <c r="C16" s="48">
        <f t="shared" si="3"/>
        <v>28810.17895</v>
      </c>
      <c r="D16" s="48">
        <f t="shared" si="4"/>
        <v>30303.62</v>
      </c>
      <c r="E16" s="48">
        <f t="shared" si="5"/>
        <v>28810.17895</v>
      </c>
      <c r="F16" s="48">
        <f t="shared" si="28"/>
        <v>27369.67</v>
      </c>
      <c r="G16" s="48">
        <f t="shared" si="6"/>
        <v>27675.25525</v>
      </c>
      <c r="H16" s="48">
        <f t="shared" si="38"/>
        <v>18593.81849</v>
      </c>
      <c r="I16" s="48">
        <f t="shared" si="8"/>
        <v>19666.5945</v>
      </c>
      <c r="J16" s="48">
        <f t="shared" ref="J16:K16" si="45">((E16-(ROUND((E16-$U$54)*$V$55,2)+SUM($W$49:$W$54)))*(100%-$Z$7))+$AB$7</f>
        <v>18593.81849</v>
      </c>
      <c r="K16" s="48">
        <f t="shared" si="45"/>
        <v>17747.882</v>
      </c>
      <c r="L16" s="48">
        <f t="shared" si="30"/>
        <v>27303.7</v>
      </c>
      <c r="M16" s="48">
        <v>14098.83</v>
      </c>
      <c r="N16" s="48">
        <f t="shared" ref="N16:O16" si="46">N15</f>
        <v>27303.62</v>
      </c>
      <c r="O16" s="48">
        <f t="shared" si="46"/>
        <v>3000</v>
      </c>
      <c r="P16" s="48">
        <f t="shared" si="41"/>
        <v>17709.14525</v>
      </c>
      <c r="Q16" s="48">
        <f t="shared" si="11"/>
        <v>10221.65175</v>
      </c>
      <c r="R16" s="48">
        <f t="shared" si="42"/>
        <v>17709.0945</v>
      </c>
      <c r="S16" s="48">
        <f t="shared" si="13"/>
        <v>2175</v>
      </c>
      <c r="U16" s="51">
        <v>6106.06</v>
      </c>
      <c r="V16" s="52">
        <v>0.14</v>
      </c>
      <c r="W16" s="51">
        <f t="shared" si="43"/>
        <v>416.03</v>
      </c>
      <c r="Y16" s="51">
        <v>4664.68</v>
      </c>
      <c r="Z16" s="53">
        <v>0.225</v>
      </c>
      <c r="AA16" s="51">
        <f t="shared" si="44"/>
        <v>205.57</v>
      </c>
      <c r="AB16" s="51">
        <v>636.13</v>
      </c>
    </row>
    <row r="17">
      <c r="A17" s="34">
        <v>45047.0</v>
      </c>
      <c r="B17" s="48">
        <f t="shared" si="2"/>
        <v>41650.92</v>
      </c>
      <c r="C17" s="48">
        <f t="shared" si="3"/>
        <v>31403.09474</v>
      </c>
      <c r="D17" s="48">
        <f t="shared" si="4"/>
        <v>32760.95</v>
      </c>
      <c r="E17" s="48">
        <f t="shared" si="5"/>
        <v>31403.09474</v>
      </c>
      <c r="F17" s="48">
        <f>ROUND(27369.67*1.09,2)</f>
        <v>29832.94</v>
      </c>
      <c r="G17" s="48">
        <f t="shared" si="6"/>
        <v>27572.67275</v>
      </c>
      <c r="H17" s="48">
        <f>((C17-(ROUND((C17-$U$66)*$V$67,2)+SUM($W$61:$W$66)))*(100%-$Z$65))+$AB$65</f>
        <v>20132.30693</v>
      </c>
      <c r="I17" s="48">
        <f t="shared" si="8"/>
        <v>21125.45925</v>
      </c>
      <c r="J17" s="48">
        <f t="shared" ref="J17:K17" si="47">((E17-(ROUND((E17-$U$66)*$V$67,2)+SUM($W$61:$W$66)))*(100%-$Z$65))+$AB$65</f>
        <v>20132.30693</v>
      </c>
      <c r="K17" s="48">
        <f t="shared" si="47"/>
        <v>19210.234</v>
      </c>
      <c r="L17" s="48">
        <f>ROUND(27303.7*1.09,2)</f>
        <v>29761.03</v>
      </c>
      <c r="M17" s="48">
        <f>12064.89-175</f>
        <v>11889.89</v>
      </c>
      <c r="N17" s="48">
        <f>ROUND(27303.62*1.09,2)</f>
        <v>29760.95</v>
      </c>
      <c r="O17" s="48">
        <f t="shared" ref="O17:O18" si="49">O16</f>
        <v>3000</v>
      </c>
      <c r="P17" s="48">
        <f>((L17-(ROUND((L17-$U$66)*$V$67,2)+SUM($W$61:$W$66)))*(100%-$Z$65))+$AB$65</f>
        <v>19168.00275</v>
      </c>
      <c r="Q17" s="48">
        <f t="shared" ref="Q17:Q18" si="50">M17*(100%-$Z$65)</f>
        <v>8620.17025</v>
      </c>
      <c r="R17" s="48">
        <f>((N17-(ROUND((N17-$U$66)*$V$67,2)+SUM($W$61:$W$66)))*(100%-$Z$65))+$AB$65</f>
        <v>19167.95925</v>
      </c>
      <c r="S17" s="48">
        <f t="shared" ref="S17:S18" si="51">O17*(100%-$Z$65)</f>
        <v>2175</v>
      </c>
      <c r="U17" s="51">
        <v>10448.0</v>
      </c>
      <c r="V17" s="52">
        <v>0.145</v>
      </c>
      <c r="W17" s="51">
        <f t="shared" si="43"/>
        <v>629.58</v>
      </c>
      <c r="Y17" s="51">
        <f>U19-W22</f>
        <v>23072.37</v>
      </c>
      <c r="Z17" s="53">
        <v>0.275</v>
      </c>
      <c r="AA17" s="51">
        <f t="shared" si="44"/>
        <v>5062.11</v>
      </c>
      <c r="AB17" s="51">
        <v>869.36</v>
      </c>
    </row>
    <row r="18">
      <c r="A18" s="34">
        <v>45292.0</v>
      </c>
      <c r="B18" s="48">
        <f t="shared" si="2"/>
        <v>41650.92</v>
      </c>
      <c r="C18" s="48">
        <f t="shared" si="3"/>
        <v>31403.09474</v>
      </c>
      <c r="D18" s="48">
        <f t="shared" si="4"/>
        <v>32760.95</v>
      </c>
      <c r="E18" s="48">
        <f t="shared" si="5"/>
        <v>31403.09474</v>
      </c>
      <c r="F18" s="48">
        <v>29832.94</v>
      </c>
      <c r="G18" s="48">
        <f t="shared" si="6"/>
        <v>27603.06475</v>
      </c>
      <c r="H18" s="48">
        <f>((C18-(ROUND((C18-$U$78)*$V$79,2)+SUM($W$73:$W$78)))*(100%-$Z$65))+$AB$65</f>
        <v>20162.69893</v>
      </c>
      <c r="I18" s="48">
        <f t="shared" si="8"/>
        <v>21155.85125</v>
      </c>
      <c r="J18" s="48">
        <f t="shared" ref="J18:K18" si="48">((E18-(ROUND((E18-$U$78)*$V$79,2)+SUM($W$73:$W$78)))*(100%-$Z$65))+$AB$65</f>
        <v>20162.69893</v>
      </c>
      <c r="K18" s="48">
        <f t="shared" si="48"/>
        <v>19240.626</v>
      </c>
      <c r="L18" s="48">
        <v>29761.03</v>
      </c>
      <c r="M18" s="48">
        <f>14283.83-2393.94</f>
        <v>11889.89</v>
      </c>
      <c r="N18" s="48">
        <v>29760.95</v>
      </c>
      <c r="O18" s="48">
        <f t="shared" si="49"/>
        <v>3000</v>
      </c>
      <c r="P18" s="48">
        <f>((L18-(ROUND((L18-$U$78)*$V$79,2)+SUM($W$73:$W$78)))*(100%-$Z$65))+$AB$65</f>
        <v>19198.39475</v>
      </c>
      <c r="Q18" s="48">
        <f t="shared" si="50"/>
        <v>8620.17025</v>
      </c>
      <c r="R18" s="48">
        <f>((N18-(ROUND((N18-$U$78)*$V$79,2)+SUM($W$73:$W$78)))*(100%-$Z$65))+$AB$65</f>
        <v>19198.35125</v>
      </c>
      <c r="S18" s="48">
        <f t="shared" si="51"/>
        <v>2175</v>
      </c>
      <c r="U18" s="51">
        <v>20896.0</v>
      </c>
      <c r="V18" s="52">
        <v>0.165</v>
      </c>
      <c r="W18" s="51">
        <f t="shared" si="43"/>
        <v>1723.92</v>
      </c>
      <c r="AA18" s="47">
        <f>SUM(AA13:AA17)</f>
        <v>5475.54</v>
      </c>
      <c r="AB18" s="47"/>
    </row>
    <row r="19">
      <c r="A19" s="34">
        <v>45323.0</v>
      </c>
      <c r="B19" s="48">
        <f t="shared" si="2"/>
        <v>44008.52</v>
      </c>
      <c r="C19" s="48">
        <f t="shared" si="3"/>
        <v>31403.09474</v>
      </c>
      <c r="D19" s="48">
        <f t="shared" si="4"/>
        <v>34260.95</v>
      </c>
      <c r="E19" s="48">
        <f t="shared" si="5"/>
        <v>31403.09474</v>
      </c>
      <c r="F19" s="48">
        <f t="shared" ref="F19:F20" si="53">F18</f>
        <v>29832.94</v>
      </c>
      <c r="G19" s="48">
        <f t="shared" si="6"/>
        <v>29280.63475</v>
      </c>
      <c r="H19" s="48">
        <f t="shared" ref="H19:H27" si="54">((C19-(ROUND((C19-$U$78)*$V$79,2)+SUM($W$73:$W$78)))*(100%-$Z$77))+$AB$77</f>
        <v>20173.73893</v>
      </c>
      <c r="I19" s="48">
        <f t="shared" si="8"/>
        <v>22145.64125</v>
      </c>
      <c r="J19" s="48">
        <f t="shared" ref="J19:K19" si="52">((E19-(ROUND((E19-$U$78)*$V$79,2)+SUM($W$73:$W$78)))*(100%-$Z$77))+$AB$77</f>
        <v>20173.73893</v>
      </c>
      <c r="K19" s="48">
        <f t="shared" si="52"/>
        <v>19251.666</v>
      </c>
      <c r="L19" s="48">
        <f t="shared" ref="L19:L27" si="56">L18</f>
        <v>29761.03</v>
      </c>
      <c r="M19" s="48">
        <v>14247.49</v>
      </c>
      <c r="N19" s="48">
        <f>N18</f>
        <v>29760.95</v>
      </c>
      <c r="O19" s="48">
        <v>4500.0</v>
      </c>
      <c r="P19" s="48">
        <f t="shared" ref="P19:P27" si="58">((L19-(ROUND((L19-$U$78)*$V$79,2)+SUM($W$73:$W$78)))*(100%-$Z$77))+$AB$77</f>
        <v>19209.43475</v>
      </c>
      <c r="Q19" s="48">
        <f t="shared" ref="Q19:Q27" si="59">M19*(100%-$Z$77)</f>
        <v>10329.43025</v>
      </c>
      <c r="R19" s="48">
        <f t="shared" ref="R19:R27" si="60">((N19-(ROUND((N19-$U$78)*$V$79,2)+SUM($W$73:$W$78)))*(100%-$Z$77))+$AB$77</f>
        <v>19209.39125</v>
      </c>
      <c r="S19" s="48">
        <f t="shared" ref="S19:S27" si="61">O19*(100%-$Z$77)</f>
        <v>3262.5</v>
      </c>
      <c r="U19" s="51">
        <v>27369.67</v>
      </c>
      <c r="V19" s="52">
        <v>0.19</v>
      </c>
      <c r="W19" s="51">
        <f t="shared" si="43"/>
        <v>1230</v>
      </c>
      <c r="Y19" s="47">
        <f>Y17*Z17-AB17</f>
        <v>5475.54175</v>
      </c>
      <c r="Z19" s="58">
        <f>Y19-AA18</f>
        <v>0.00175</v>
      </c>
    </row>
    <row r="20">
      <c r="A20" s="34">
        <v>45505.0</v>
      </c>
      <c r="B20" s="48">
        <f t="shared" si="2"/>
        <v>44008.52</v>
      </c>
      <c r="C20" s="48">
        <f t="shared" si="3"/>
        <v>31403.09474</v>
      </c>
      <c r="D20" s="48">
        <f t="shared" si="4"/>
        <v>34760.95</v>
      </c>
      <c r="E20" s="48">
        <f t="shared" si="5"/>
        <v>31403.09474</v>
      </c>
      <c r="F20" s="48">
        <f t="shared" si="53"/>
        <v>29832.94</v>
      </c>
      <c r="G20" s="48">
        <f t="shared" si="6"/>
        <v>29280.63475</v>
      </c>
      <c r="H20" s="48">
        <f t="shared" si="54"/>
        <v>20173.73893</v>
      </c>
      <c r="I20" s="48">
        <f t="shared" si="8"/>
        <v>22471.89125</v>
      </c>
      <c r="J20" s="48">
        <f t="shared" ref="J20:K20" si="55">((E20-(ROUND((E20-$U$78)*$V$79,2)+SUM($W$73:$W$78)))*(100%-$Z$77))+$AB$77</f>
        <v>20173.73893</v>
      </c>
      <c r="K20" s="48">
        <f t="shared" si="55"/>
        <v>19251.666</v>
      </c>
      <c r="L20" s="48">
        <f t="shared" si="56"/>
        <v>29761.03</v>
      </c>
      <c r="M20" s="48">
        <f t="shared" ref="M20:N20" si="57">M19</f>
        <v>14247.49</v>
      </c>
      <c r="N20" s="48">
        <f t="shared" si="57"/>
        <v>29760.95</v>
      </c>
      <c r="O20" s="48">
        <v>5000.0</v>
      </c>
      <c r="P20" s="48">
        <f t="shared" si="58"/>
        <v>19209.43475</v>
      </c>
      <c r="Q20" s="48">
        <f t="shared" si="59"/>
        <v>10329.43025</v>
      </c>
      <c r="R20" s="48">
        <f t="shared" si="60"/>
        <v>19209.39125</v>
      </c>
      <c r="S20" s="48">
        <f t="shared" si="61"/>
        <v>3625</v>
      </c>
      <c r="U20" s="51">
        <v>40747.2</v>
      </c>
      <c r="V20" s="52">
        <v>0.22</v>
      </c>
      <c r="W20" s="51"/>
      <c r="Y20" s="54">
        <f>AA20/U19</f>
        <v>0.6429317562</v>
      </c>
      <c r="Z20" s="54">
        <f>AA18/Y17</f>
        <v>0.2373202233</v>
      </c>
      <c r="AA20" s="47">
        <f>Y17-AA18</f>
        <v>17596.83</v>
      </c>
    </row>
    <row r="21">
      <c r="A21" s="34">
        <v>45658.0</v>
      </c>
      <c r="B21" s="48">
        <f t="shared" si="2"/>
        <v>44008.52</v>
      </c>
      <c r="C21" s="48">
        <f t="shared" si="3"/>
        <v>34827.47368</v>
      </c>
      <c r="D21" s="48">
        <f t="shared" si="4"/>
        <v>34760.95</v>
      </c>
      <c r="E21" s="48">
        <f t="shared" si="5"/>
        <v>34827.47368</v>
      </c>
      <c r="F21" s="48">
        <v>33086.1</v>
      </c>
      <c r="G21" s="48">
        <f t="shared" si="6"/>
        <v>29280.63475</v>
      </c>
      <c r="H21" s="48">
        <f t="shared" si="54"/>
        <v>22184.70692</v>
      </c>
      <c r="I21" s="48">
        <f t="shared" si="8"/>
        <v>22471.89125</v>
      </c>
      <c r="J21" s="48">
        <f t="shared" ref="J21:K21" si="62">((E21-(ROUND((E21-$U$78)*$V$79,2)+SUM($W$73:$W$78)))*(100%-$Z$77))+$AB$77</f>
        <v>22184.70692</v>
      </c>
      <c r="K21" s="48">
        <f t="shared" si="62"/>
        <v>21162.0845</v>
      </c>
      <c r="L21" s="48">
        <f t="shared" si="56"/>
        <v>29761.03</v>
      </c>
      <c r="M21" s="48">
        <f>44008.52-L21</f>
        <v>14247.49</v>
      </c>
      <c r="N21" s="48">
        <f t="shared" ref="N21:O21" si="63">N20</f>
        <v>29760.95</v>
      </c>
      <c r="O21" s="48">
        <f t="shared" si="63"/>
        <v>5000</v>
      </c>
      <c r="P21" s="48">
        <f t="shared" si="58"/>
        <v>19209.43475</v>
      </c>
      <c r="Q21" s="48">
        <f t="shared" si="59"/>
        <v>10329.43025</v>
      </c>
      <c r="R21" s="48">
        <f t="shared" si="60"/>
        <v>19209.39125</v>
      </c>
      <c r="S21" s="48">
        <f t="shared" si="61"/>
        <v>3625</v>
      </c>
    </row>
    <row r="22">
      <c r="A22" s="34">
        <v>45689.0</v>
      </c>
      <c r="B22" s="48">
        <f t="shared" si="2"/>
        <v>46366.19</v>
      </c>
      <c r="C22" s="48">
        <f t="shared" si="3"/>
        <v>34827.47368</v>
      </c>
      <c r="D22" s="48">
        <f t="shared" si="4"/>
        <v>36760.95</v>
      </c>
      <c r="E22" s="48">
        <f t="shared" si="5"/>
        <v>34827.47368</v>
      </c>
      <c r="F22" s="48">
        <f t="shared" ref="F22:F24" si="65">F21</f>
        <v>33086.1</v>
      </c>
      <c r="G22" s="48">
        <f t="shared" si="6"/>
        <v>30947.21475</v>
      </c>
      <c r="H22" s="48">
        <f t="shared" si="54"/>
        <v>22184.70692</v>
      </c>
      <c r="I22" s="48">
        <f t="shared" si="8"/>
        <v>23776.89125</v>
      </c>
      <c r="J22" s="48">
        <f t="shared" ref="J22:K22" si="64">((E22-(ROUND((E22-$U$78)*$V$79,2)+SUM($W$73:$W$78)))*(100%-$Z$77))+$AB$77</f>
        <v>22184.70692</v>
      </c>
      <c r="K22" s="48">
        <f t="shared" si="64"/>
        <v>21162.0845</v>
      </c>
      <c r="L22" s="48">
        <f t="shared" si="56"/>
        <v>29761.03</v>
      </c>
      <c r="M22" s="48">
        <f>46366.19-L22</f>
        <v>16605.16</v>
      </c>
      <c r="N22" s="48">
        <f>N21</f>
        <v>29760.95</v>
      </c>
      <c r="O22" s="48">
        <v>7000.0</v>
      </c>
      <c r="P22" s="48">
        <f t="shared" si="58"/>
        <v>19209.43475</v>
      </c>
      <c r="Q22" s="48">
        <f t="shared" si="59"/>
        <v>12038.741</v>
      </c>
      <c r="R22" s="48">
        <f t="shared" si="60"/>
        <v>19209.39125</v>
      </c>
      <c r="S22" s="48">
        <f t="shared" si="61"/>
        <v>5075</v>
      </c>
      <c r="U22" s="54">
        <f>W22/U19</f>
        <v>0.1570095657</v>
      </c>
      <c r="W22" s="47">
        <f>SUM(W13:W20)</f>
        <v>4297.3</v>
      </c>
    </row>
    <row r="23">
      <c r="A23" s="34">
        <v>45778.0</v>
      </c>
      <c r="B23" s="48">
        <f t="shared" si="2"/>
        <v>46366.19</v>
      </c>
      <c r="C23" s="48">
        <f t="shared" si="3"/>
        <v>34827.47368</v>
      </c>
      <c r="D23" s="48">
        <f t="shared" si="4"/>
        <v>36760.95</v>
      </c>
      <c r="E23" s="48">
        <f t="shared" si="5"/>
        <v>34827.47368</v>
      </c>
      <c r="F23" s="48">
        <f t="shared" si="65"/>
        <v>33086.1</v>
      </c>
      <c r="G23" s="48">
        <f t="shared" si="6"/>
        <v>30947.21475</v>
      </c>
      <c r="H23" s="48">
        <f t="shared" si="54"/>
        <v>22184.70692</v>
      </c>
      <c r="I23" s="48">
        <f t="shared" si="8"/>
        <v>23776.89125</v>
      </c>
      <c r="J23" s="48">
        <f t="shared" ref="J23:K23" si="66">((E23-(ROUND((E23-$U$78)*$V$79,2)+SUM($W$73:$W$78)))*(100%-$Z$77))+$AB$77</f>
        <v>22184.70692</v>
      </c>
      <c r="K23" s="48">
        <f t="shared" si="66"/>
        <v>21162.0845</v>
      </c>
      <c r="L23" s="48">
        <f t="shared" si="56"/>
        <v>29761.03</v>
      </c>
      <c r="M23" s="48">
        <f t="shared" ref="M23:O23" si="67">M22</f>
        <v>16605.16</v>
      </c>
      <c r="N23" s="48">
        <f t="shared" si="67"/>
        <v>29760.95</v>
      </c>
      <c r="O23" s="48">
        <f t="shared" si="67"/>
        <v>7000</v>
      </c>
      <c r="P23" s="48">
        <f t="shared" si="58"/>
        <v>19209.43475</v>
      </c>
      <c r="Q23" s="48">
        <f t="shared" si="59"/>
        <v>12038.741</v>
      </c>
      <c r="R23" s="48">
        <f t="shared" si="60"/>
        <v>19209.39125</v>
      </c>
      <c r="S23" s="48">
        <f t="shared" si="61"/>
        <v>5075</v>
      </c>
      <c r="U23" s="56"/>
      <c r="V23" s="56"/>
      <c r="W23" s="56"/>
    </row>
    <row r="24">
      <c r="A24" s="34">
        <v>46054.0</v>
      </c>
      <c r="B24" s="48">
        <f t="shared" si="2"/>
        <v>46366.19</v>
      </c>
      <c r="C24" s="48">
        <f t="shared" si="3"/>
        <v>34827.47368</v>
      </c>
      <c r="D24" s="48">
        <f t="shared" si="4"/>
        <v>36760.95</v>
      </c>
      <c r="E24" s="48">
        <f t="shared" si="5"/>
        <v>34827.47368</v>
      </c>
      <c r="F24" s="48">
        <f t="shared" si="65"/>
        <v>33086.1</v>
      </c>
      <c r="G24" s="48">
        <f t="shared" si="6"/>
        <v>30947.21475</v>
      </c>
      <c r="H24" s="48">
        <f t="shared" si="54"/>
        <v>22184.70692</v>
      </c>
      <c r="I24" s="48">
        <f t="shared" si="8"/>
        <v>23776.89125</v>
      </c>
      <c r="J24" s="48">
        <f t="shared" ref="J24:K24" si="68">((E24-(ROUND((E24-$U$78)*$V$79,2)+SUM($W$73:$W$78)))*(100%-$Z$77))+$AB$77</f>
        <v>22184.70692</v>
      </c>
      <c r="K24" s="48">
        <f t="shared" si="68"/>
        <v>21162.0845</v>
      </c>
      <c r="L24" s="48">
        <f t="shared" si="56"/>
        <v>29761.03</v>
      </c>
      <c r="M24" s="48">
        <f t="shared" ref="M24:O24" si="69">M23</f>
        <v>16605.16</v>
      </c>
      <c r="N24" s="48">
        <f t="shared" si="69"/>
        <v>29760.95</v>
      </c>
      <c r="O24" s="48">
        <f t="shared" si="69"/>
        <v>7000</v>
      </c>
      <c r="P24" s="48">
        <f t="shared" si="58"/>
        <v>19209.43475</v>
      </c>
      <c r="Q24" s="48">
        <f t="shared" si="59"/>
        <v>12038.741</v>
      </c>
      <c r="R24" s="48">
        <f t="shared" si="60"/>
        <v>19209.39125</v>
      </c>
      <c r="S24" s="48">
        <f t="shared" si="61"/>
        <v>5075</v>
      </c>
      <c r="U24" s="49" t="s">
        <v>68</v>
      </c>
      <c r="V24" s="56"/>
      <c r="W24" s="56"/>
      <c r="X24" s="51"/>
      <c r="Y24" s="50" t="s">
        <v>66</v>
      </c>
      <c r="AB24" s="47"/>
    </row>
    <row r="25">
      <c r="A25" s="34">
        <v>46113.0</v>
      </c>
      <c r="B25" s="48">
        <f t="shared" si="2"/>
        <v>46366.19</v>
      </c>
      <c r="C25" s="48">
        <f t="shared" si="3"/>
        <v>38625.26316</v>
      </c>
      <c r="D25" s="48">
        <f t="shared" si="4"/>
        <v>41260.95</v>
      </c>
      <c r="E25" s="48">
        <f t="shared" si="5"/>
        <v>38625.26316</v>
      </c>
      <c r="F25" s="48">
        <v>36694.0</v>
      </c>
      <c r="G25" s="48">
        <f t="shared" si="6"/>
        <v>30947.21475</v>
      </c>
      <c r="H25" s="48">
        <f t="shared" si="54"/>
        <v>24414.95879</v>
      </c>
      <c r="I25" s="48">
        <f t="shared" si="8"/>
        <v>26713.14125</v>
      </c>
      <c r="J25" s="48">
        <f t="shared" ref="J25:K25" si="70">((E25-(ROUND((E25-$U$78)*$V$79,2)+SUM($W$73:$W$78)))*(100%-$Z$77))+$AB$77</f>
        <v>24414.95879</v>
      </c>
      <c r="K25" s="48">
        <f t="shared" si="70"/>
        <v>23280.8245</v>
      </c>
      <c r="L25" s="48">
        <f t="shared" si="56"/>
        <v>29761.03</v>
      </c>
      <c r="M25" s="48">
        <f t="shared" ref="M25:N25" si="71">M24</f>
        <v>16605.16</v>
      </c>
      <c r="N25" s="48">
        <f t="shared" si="71"/>
        <v>29760.95</v>
      </c>
      <c r="O25" s="48">
        <v>11500.0</v>
      </c>
      <c r="P25" s="48">
        <f t="shared" si="58"/>
        <v>19209.43475</v>
      </c>
      <c r="Q25" s="48">
        <f t="shared" si="59"/>
        <v>12038.741</v>
      </c>
      <c r="R25" s="48">
        <f t="shared" si="60"/>
        <v>19209.39125</v>
      </c>
      <c r="S25" s="48">
        <f t="shared" si="61"/>
        <v>8337.5</v>
      </c>
      <c r="U25" s="60">
        <v>1100.0</v>
      </c>
      <c r="V25" s="61">
        <v>0.075</v>
      </c>
      <c r="W25" s="62">
        <f>ROUND(U25*V25,2)</f>
        <v>82.5</v>
      </c>
      <c r="X25" s="51"/>
      <c r="Y25" s="51">
        <v>1903.98</v>
      </c>
      <c r="Z25" s="53">
        <v>0.0</v>
      </c>
      <c r="AA25" s="51">
        <f>Y25*Z25</f>
        <v>0</v>
      </c>
      <c r="AB25" s="51">
        <v>0.0</v>
      </c>
    </row>
    <row r="26">
      <c r="A26" s="34">
        <v>46143.0</v>
      </c>
      <c r="B26" s="48">
        <f t="shared" si="2"/>
        <v>46366.19</v>
      </c>
      <c r="C26" s="48">
        <f t="shared" si="3"/>
        <v>38625.26316</v>
      </c>
      <c r="D26" s="48">
        <f t="shared" si="4"/>
        <v>41260.95</v>
      </c>
      <c r="E26" s="48">
        <f t="shared" si="5"/>
        <v>38625.26316</v>
      </c>
      <c r="F26" s="48">
        <f t="shared" ref="F26:F27" si="74">F25</f>
        <v>36694</v>
      </c>
      <c r="G26" s="48">
        <f t="shared" si="6"/>
        <v>30947.21475</v>
      </c>
      <c r="H26" s="48">
        <f t="shared" si="54"/>
        <v>24414.95879</v>
      </c>
      <c r="I26" s="48">
        <f t="shared" si="8"/>
        <v>26713.14125</v>
      </c>
      <c r="J26" s="48">
        <f t="shared" ref="J26:K26" si="72">((E26-(ROUND((E26-$U$78)*$V$79,2)+SUM($W$73:$W$78)))*(100%-$Z$77))+$AB$77</f>
        <v>24414.95879</v>
      </c>
      <c r="K26" s="48">
        <f t="shared" si="72"/>
        <v>23280.8245</v>
      </c>
      <c r="L26" s="48">
        <f t="shared" si="56"/>
        <v>29761.03</v>
      </c>
      <c r="M26" s="48">
        <f t="shared" ref="M26:O26" si="73">M25</f>
        <v>16605.16</v>
      </c>
      <c r="N26" s="48">
        <f t="shared" si="73"/>
        <v>29760.95</v>
      </c>
      <c r="O26" s="48">
        <f t="shared" si="73"/>
        <v>11500</v>
      </c>
      <c r="P26" s="48">
        <f t="shared" si="58"/>
        <v>19209.43475</v>
      </c>
      <c r="Q26" s="48">
        <f t="shared" si="59"/>
        <v>12038.741</v>
      </c>
      <c r="R26" s="48">
        <f t="shared" si="60"/>
        <v>19209.39125</v>
      </c>
      <c r="S26" s="48">
        <f t="shared" si="61"/>
        <v>8337.5</v>
      </c>
      <c r="U26" s="60">
        <v>2203.48</v>
      </c>
      <c r="V26" s="61">
        <v>0.09</v>
      </c>
      <c r="W26" s="62">
        <f t="shared" ref="W26:W31" si="77">ROUND((U26-U25)*V26,2)</f>
        <v>99.31</v>
      </c>
      <c r="X26" s="51"/>
      <c r="Y26" s="51">
        <v>2826.65</v>
      </c>
      <c r="Z26" s="53">
        <v>0.075</v>
      </c>
      <c r="AA26" s="51">
        <f t="shared" ref="AA26:AA29" si="78">ROUND((Y26-Y25)*Z26,2)</f>
        <v>69.2</v>
      </c>
      <c r="AB26" s="51">
        <v>142.8</v>
      </c>
    </row>
    <row r="27">
      <c r="A27" s="34">
        <v>46419.0</v>
      </c>
      <c r="B27" s="48">
        <f t="shared" si="2"/>
        <v>46366.19</v>
      </c>
      <c r="C27" s="48">
        <f t="shared" si="3"/>
        <v>38625.26316</v>
      </c>
      <c r="D27" s="48">
        <f t="shared" si="4"/>
        <v>41663.45</v>
      </c>
      <c r="E27" s="48">
        <f t="shared" si="5"/>
        <v>38625.26316</v>
      </c>
      <c r="F27" s="59">
        <f t="shared" si="74"/>
        <v>36694</v>
      </c>
      <c r="G27" s="48">
        <f t="shared" si="6"/>
        <v>30947.21475</v>
      </c>
      <c r="H27" s="59">
        <f t="shared" si="54"/>
        <v>24414.95879</v>
      </c>
      <c r="I27" s="48">
        <f t="shared" si="8"/>
        <v>26975.77125</v>
      </c>
      <c r="J27" s="59">
        <f t="shared" ref="J27:K27" si="75">((E27-(ROUND((E27-$U$78)*$V$79,2)+SUM($W$73:$W$78)))*(100%-$Z$77))+$AB$77</f>
        <v>24414.95879</v>
      </c>
      <c r="K27" s="59">
        <f t="shared" si="75"/>
        <v>23280.8245</v>
      </c>
      <c r="L27" s="48">
        <f t="shared" si="56"/>
        <v>29761.03</v>
      </c>
      <c r="M27" s="48">
        <f t="shared" ref="M27:N27" si="76">M26</f>
        <v>16605.16</v>
      </c>
      <c r="N27" s="48">
        <f t="shared" si="76"/>
        <v>29760.95</v>
      </c>
      <c r="O27" s="59">
        <f>ROUND(11500*1.035,2)</f>
        <v>11902.5</v>
      </c>
      <c r="P27" s="48">
        <f t="shared" si="58"/>
        <v>19209.43475</v>
      </c>
      <c r="Q27" s="48">
        <f t="shared" si="59"/>
        <v>12038.741</v>
      </c>
      <c r="R27" s="59">
        <f t="shared" si="60"/>
        <v>19209.39125</v>
      </c>
      <c r="S27" s="59">
        <f t="shared" si="61"/>
        <v>8629.3125</v>
      </c>
      <c r="T27" s="49"/>
      <c r="U27" s="60">
        <v>3305.22</v>
      </c>
      <c r="V27" s="61">
        <v>0.12</v>
      </c>
      <c r="W27" s="62">
        <f t="shared" si="77"/>
        <v>132.21</v>
      </c>
      <c r="X27" s="51"/>
      <c r="Y27" s="51">
        <v>3751.05</v>
      </c>
      <c r="Z27" s="53">
        <v>0.15</v>
      </c>
      <c r="AA27" s="51">
        <f t="shared" si="78"/>
        <v>138.66</v>
      </c>
      <c r="AB27" s="51">
        <v>354.8</v>
      </c>
    </row>
    <row r="28">
      <c r="A28" s="63"/>
      <c r="B28" s="48"/>
      <c r="C28" s="48"/>
      <c r="D28" s="48"/>
      <c r="E28" s="59"/>
      <c r="F28" s="59"/>
      <c r="G28" s="48"/>
      <c r="H28" s="48"/>
      <c r="I28" s="48"/>
      <c r="J28" s="59"/>
      <c r="K28" s="59"/>
      <c r="L28" s="59"/>
      <c r="M28" s="48"/>
      <c r="N28" s="59"/>
      <c r="O28" s="59"/>
      <c r="P28" s="48"/>
      <c r="Q28" s="48"/>
      <c r="R28" s="59"/>
      <c r="S28" s="59"/>
      <c r="T28" s="62"/>
      <c r="U28" s="60">
        <v>6433.57</v>
      </c>
      <c r="V28" s="61">
        <v>0.14</v>
      </c>
      <c r="W28" s="62">
        <f t="shared" si="77"/>
        <v>437.97</v>
      </c>
      <c r="X28" s="51"/>
      <c r="Y28" s="51">
        <v>4664.68</v>
      </c>
      <c r="Z28" s="53">
        <v>0.225</v>
      </c>
      <c r="AA28" s="51">
        <f t="shared" si="78"/>
        <v>205.57</v>
      </c>
      <c r="AB28" s="51">
        <v>636.13</v>
      </c>
    </row>
    <row r="29">
      <c r="A29" s="63"/>
      <c r="B29" s="48"/>
      <c r="C29" s="70"/>
      <c r="D29" s="70"/>
      <c r="E29" s="71"/>
      <c r="F29" s="72"/>
      <c r="G29" s="48"/>
      <c r="H29" s="70"/>
      <c r="I29" s="70"/>
      <c r="J29" s="71"/>
      <c r="K29" s="59"/>
      <c r="L29" s="59"/>
      <c r="M29" s="48"/>
      <c r="N29" s="59"/>
      <c r="O29" s="59"/>
      <c r="P29" s="48"/>
      <c r="Q29" s="48"/>
      <c r="R29" s="59"/>
      <c r="S29" s="59"/>
      <c r="T29" s="62"/>
      <c r="U29" s="60">
        <v>11017.42</v>
      </c>
      <c r="V29" s="61">
        <v>0.145</v>
      </c>
      <c r="W29" s="62">
        <f t="shared" si="77"/>
        <v>664.66</v>
      </c>
      <c r="X29" s="51"/>
      <c r="Y29" s="51">
        <f>U31-W34</f>
        <v>23121.53</v>
      </c>
      <c r="Z29" s="53">
        <v>0.275</v>
      </c>
      <c r="AA29" s="51">
        <f t="shared" si="78"/>
        <v>5075.63</v>
      </c>
      <c r="AB29" s="51">
        <v>869.36</v>
      </c>
    </row>
    <row r="30">
      <c r="A30" s="63"/>
      <c r="B30" s="48"/>
      <c r="C30" s="70"/>
      <c r="D30" s="70"/>
      <c r="E30" s="71"/>
      <c r="F30" s="72"/>
      <c r="G30" s="48"/>
      <c r="H30" s="70"/>
      <c r="I30" s="70"/>
      <c r="J30" s="71"/>
      <c r="K30" s="59"/>
      <c r="L30" s="59"/>
      <c r="M30" s="59"/>
      <c r="N30" s="59"/>
      <c r="O30" s="59"/>
      <c r="P30" s="59"/>
      <c r="Q30" s="59"/>
      <c r="R30" s="59"/>
      <c r="S30" s="59"/>
      <c r="T30" s="62"/>
      <c r="U30" s="60">
        <v>22034.83</v>
      </c>
      <c r="V30" s="61">
        <v>0.165</v>
      </c>
      <c r="W30" s="62">
        <f t="shared" si="77"/>
        <v>1817.87</v>
      </c>
      <c r="X30" s="51"/>
      <c r="AA30" s="47">
        <f>SUM(AA25:AA29)</f>
        <v>5489.06</v>
      </c>
      <c r="AB30" s="47"/>
    </row>
    <row r="31">
      <c r="A31" s="63"/>
      <c r="B31" s="48"/>
      <c r="C31" s="70"/>
      <c r="D31" s="70"/>
      <c r="E31" s="71"/>
      <c r="F31" s="72"/>
      <c r="G31" s="48"/>
      <c r="H31" s="70"/>
      <c r="I31" s="70"/>
      <c r="J31" s="71"/>
      <c r="K31" s="59"/>
      <c r="L31" s="59"/>
      <c r="M31" s="59"/>
      <c r="N31" s="59"/>
      <c r="O31" s="59"/>
      <c r="P31" s="59"/>
      <c r="Q31" s="59"/>
      <c r="R31" s="59"/>
      <c r="S31" s="59"/>
      <c r="T31" s="62"/>
      <c r="U31" s="62">
        <v>27369.67</v>
      </c>
      <c r="V31" s="61">
        <v>0.19</v>
      </c>
      <c r="W31" s="62">
        <f t="shared" si="77"/>
        <v>1013.62</v>
      </c>
      <c r="X31" s="51"/>
      <c r="Y31" s="47">
        <f>Y29*Z29-AB29</f>
        <v>5489.06075</v>
      </c>
      <c r="Z31" s="58">
        <f>Y31-AA30</f>
        <v>0.0007500000002</v>
      </c>
    </row>
    <row r="32">
      <c r="A32" s="63"/>
      <c r="B32" s="48"/>
      <c r="C32" s="70"/>
      <c r="D32" s="70"/>
      <c r="E32" s="71"/>
      <c r="F32" s="72"/>
      <c r="G32" s="48"/>
      <c r="H32" s="70"/>
      <c r="I32" s="70"/>
      <c r="J32" s="71"/>
      <c r="K32" s="59"/>
      <c r="L32" s="59"/>
      <c r="M32" s="59"/>
      <c r="N32" s="59"/>
      <c r="O32" s="59"/>
      <c r="P32" s="59"/>
      <c r="Q32" s="59"/>
      <c r="R32" s="59"/>
      <c r="S32" s="59"/>
      <c r="T32" s="62"/>
      <c r="U32" s="60">
        <v>42967.92</v>
      </c>
      <c r="V32" s="61">
        <v>0.22</v>
      </c>
      <c r="W32" s="64"/>
      <c r="Y32" s="54">
        <f>AA32/U31</f>
        <v>0.6442339276</v>
      </c>
      <c r="Z32" s="54">
        <f>AA30/Y29</f>
        <v>0.2374003796</v>
      </c>
      <c r="AA32" s="47">
        <f>Y29-AA30</f>
        <v>17632.47</v>
      </c>
    </row>
    <row r="33">
      <c r="A33" s="63"/>
      <c r="B33" s="48"/>
      <c r="C33" s="70"/>
      <c r="D33" s="70"/>
      <c r="E33" s="71"/>
      <c r="F33" s="72"/>
      <c r="G33" s="48"/>
      <c r="H33" s="70"/>
      <c r="I33" s="70"/>
      <c r="J33" s="71"/>
      <c r="K33" s="59"/>
      <c r="L33" s="59"/>
      <c r="M33" s="59"/>
      <c r="N33" s="59"/>
      <c r="O33" s="59"/>
      <c r="P33" s="59"/>
      <c r="Q33" s="59"/>
      <c r="R33" s="59"/>
      <c r="S33" s="59"/>
      <c r="T33" s="62"/>
      <c r="U33" s="56"/>
      <c r="V33" s="56"/>
      <c r="W33" s="56"/>
    </row>
    <row r="34">
      <c r="A34" s="63"/>
      <c r="B34" s="48"/>
      <c r="C34" s="70"/>
      <c r="D34" s="70"/>
      <c r="E34" s="71"/>
      <c r="F34" s="72"/>
      <c r="G34" s="48"/>
      <c r="H34" s="70"/>
      <c r="I34" s="70"/>
      <c r="J34" s="71"/>
      <c r="K34" s="59"/>
      <c r="L34" s="59"/>
      <c r="M34" s="59"/>
      <c r="N34" s="59"/>
      <c r="O34" s="59"/>
      <c r="P34" s="59"/>
      <c r="Q34" s="59"/>
      <c r="R34" s="59"/>
      <c r="S34" s="59"/>
      <c r="T34" s="62"/>
      <c r="U34" s="61">
        <f>W34/U31</f>
        <v>0.1552134169</v>
      </c>
      <c r="V34" s="56"/>
      <c r="W34" s="62">
        <f>SUM(W25:W32)</f>
        <v>4248.14</v>
      </c>
    </row>
    <row r="35">
      <c r="A35" s="63"/>
      <c r="B35" s="48"/>
      <c r="C35" s="70"/>
      <c r="D35" s="70"/>
      <c r="E35" s="71"/>
      <c r="F35" s="59"/>
      <c r="G35" s="48"/>
      <c r="H35" s="70"/>
      <c r="I35" s="70"/>
      <c r="J35" s="71"/>
      <c r="K35" s="59"/>
      <c r="L35" s="59"/>
      <c r="M35" s="59"/>
      <c r="N35" s="59"/>
      <c r="O35" s="59"/>
      <c r="P35" s="59"/>
      <c r="Q35" s="59"/>
      <c r="R35" s="59"/>
      <c r="S35" s="59"/>
      <c r="T35" s="62"/>
    </row>
    <row r="36">
      <c r="A36" s="63"/>
      <c r="B36" s="48"/>
      <c r="C36" s="70"/>
      <c r="D36" s="70"/>
      <c r="E36" s="71"/>
      <c r="F36" s="59"/>
      <c r="G36" s="48"/>
      <c r="H36" s="70"/>
      <c r="I36" s="70"/>
      <c r="J36" s="71"/>
      <c r="K36" s="59"/>
      <c r="L36" s="59"/>
      <c r="M36" s="59"/>
      <c r="N36" s="59"/>
      <c r="O36" s="59"/>
      <c r="P36" s="59"/>
      <c r="Q36" s="59"/>
      <c r="R36" s="59"/>
      <c r="S36" s="59"/>
      <c r="T36" s="56"/>
      <c r="U36" s="49" t="s">
        <v>69</v>
      </c>
      <c r="V36" s="56"/>
      <c r="W36" s="56"/>
      <c r="Y36" s="50" t="s">
        <v>66</v>
      </c>
      <c r="AB36" s="47"/>
    </row>
    <row r="37">
      <c r="A37" s="63"/>
      <c r="C37" s="70"/>
      <c r="D37" s="55"/>
      <c r="E37" s="71"/>
      <c r="G37" s="48"/>
      <c r="H37" s="70"/>
      <c r="I37" s="55"/>
      <c r="J37" s="71"/>
      <c r="P37" s="48"/>
      <c r="Q37" s="48"/>
      <c r="T37" s="61"/>
      <c r="U37" s="60">
        <v>1212.0</v>
      </c>
      <c r="V37" s="61">
        <v>0.075</v>
      </c>
      <c r="W37" s="62">
        <f>ROUND(U37*V37,2)</f>
        <v>90.9</v>
      </c>
      <c r="Y37" s="51">
        <v>1903.98</v>
      </c>
      <c r="Z37" s="53">
        <v>0.0</v>
      </c>
      <c r="AA37" s="51">
        <f>Y37*Z37</f>
        <v>0</v>
      </c>
      <c r="AB37" s="51">
        <v>0.0</v>
      </c>
    </row>
    <row r="38">
      <c r="A38" s="63"/>
      <c r="C38" s="70"/>
      <c r="D38" s="55"/>
      <c r="E38" s="71"/>
      <c r="G38" s="48"/>
      <c r="H38" s="70"/>
      <c r="I38" s="55"/>
      <c r="J38" s="71"/>
      <c r="P38" s="48"/>
      <c r="Q38" s="48"/>
      <c r="T38" s="56"/>
      <c r="U38" s="60">
        <v>2427.35</v>
      </c>
      <c r="V38" s="61">
        <v>0.09</v>
      </c>
      <c r="W38" s="62">
        <f t="shared" ref="W38:W43" si="79">ROUND((U38-U37)*V38,2)</f>
        <v>109.38</v>
      </c>
      <c r="Y38" s="51">
        <v>2826.65</v>
      </c>
      <c r="Z38" s="53">
        <v>0.075</v>
      </c>
      <c r="AA38" s="51">
        <f t="shared" ref="AA38:AA41" si="80">ROUND((Y38-Y37)*Z38,2)</f>
        <v>69.2</v>
      </c>
      <c r="AB38" s="51">
        <v>142.8</v>
      </c>
    </row>
    <row r="39">
      <c r="A39" s="63"/>
      <c r="C39" s="70"/>
      <c r="D39" s="55"/>
      <c r="E39" s="71"/>
      <c r="H39" s="70"/>
      <c r="I39" s="55"/>
      <c r="J39" s="71"/>
      <c r="T39" s="56"/>
      <c r="U39" s="60">
        <v>3641.03</v>
      </c>
      <c r="V39" s="61">
        <v>0.12</v>
      </c>
      <c r="W39" s="62">
        <f t="shared" si="79"/>
        <v>145.64</v>
      </c>
      <c r="Y39" s="51">
        <v>3751.05</v>
      </c>
      <c r="Z39" s="53">
        <v>0.15</v>
      </c>
      <c r="AA39" s="51">
        <f t="shared" si="80"/>
        <v>138.66</v>
      </c>
      <c r="AB39" s="51">
        <v>354.8</v>
      </c>
    </row>
    <row r="40">
      <c r="A40" s="63"/>
      <c r="C40" s="70"/>
      <c r="D40" s="55"/>
      <c r="E40" s="71"/>
      <c r="H40" s="70"/>
      <c r="I40" s="55"/>
      <c r="J40" s="71"/>
      <c r="T40" s="49"/>
      <c r="U40" s="60">
        <v>7087.22</v>
      </c>
      <c r="V40" s="61">
        <v>0.14</v>
      </c>
      <c r="W40" s="62">
        <f t="shared" si="79"/>
        <v>482.47</v>
      </c>
      <c r="Y40" s="51">
        <v>4664.68</v>
      </c>
      <c r="Z40" s="53">
        <v>0.225</v>
      </c>
      <c r="AA40" s="51">
        <f t="shared" si="80"/>
        <v>205.57</v>
      </c>
      <c r="AB40" s="51">
        <v>636.13</v>
      </c>
    </row>
    <row r="41">
      <c r="A41" s="63"/>
      <c r="C41" s="70"/>
      <c r="D41" s="55"/>
      <c r="E41" s="71"/>
      <c r="H41" s="70"/>
      <c r="I41" s="55"/>
      <c r="J41" s="71"/>
      <c r="T41" s="62"/>
      <c r="U41" s="60">
        <v>12136.79</v>
      </c>
      <c r="V41" s="61">
        <v>0.145</v>
      </c>
      <c r="W41" s="62">
        <f t="shared" si="79"/>
        <v>732.19</v>
      </c>
      <c r="Y41" s="51">
        <f>U43-W46</f>
        <v>23218.26</v>
      </c>
      <c r="Z41" s="53">
        <v>0.275</v>
      </c>
      <c r="AA41" s="51">
        <f t="shared" si="80"/>
        <v>5102.23</v>
      </c>
      <c r="AB41" s="51">
        <v>869.36</v>
      </c>
    </row>
    <row r="42">
      <c r="A42" s="63"/>
      <c r="C42" s="70"/>
      <c r="D42" s="55"/>
      <c r="E42" s="71"/>
      <c r="H42" s="70"/>
      <c r="I42" s="55"/>
      <c r="J42" s="71"/>
      <c r="T42" s="62"/>
      <c r="U42" s="60">
        <v>24273.57</v>
      </c>
      <c r="V42" s="61">
        <v>0.165</v>
      </c>
      <c r="W42" s="62">
        <f t="shared" si="79"/>
        <v>2002.57</v>
      </c>
      <c r="AA42" s="47">
        <f>SUM(AA37:AA41)</f>
        <v>5515.66</v>
      </c>
      <c r="AB42" s="47"/>
    </row>
    <row r="43">
      <c r="A43" s="63"/>
      <c r="C43" s="70"/>
      <c r="D43" s="55"/>
      <c r="E43" s="71"/>
      <c r="H43" s="70"/>
      <c r="I43" s="55"/>
      <c r="J43" s="71"/>
      <c r="T43" s="62"/>
      <c r="U43" s="62">
        <v>27369.67</v>
      </c>
      <c r="V43" s="61">
        <v>0.19</v>
      </c>
      <c r="W43" s="62">
        <f t="shared" si="79"/>
        <v>588.26</v>
      </c>
      <c r="Y43" s="47">
        <f>Y41*Z41-AB41</f>
        <v>5515.6615</v>
      </c>
      <c r="Z43" s="58">
        <f>Y43-AA42</f>
        <v>0.0015</v>
      </c>
    </row>
    <row r="44">
      <c r="A44" s="65"/>
      <c r="C44" s="70"/>
      <c r="D44" s="55"/>
      <c r="E44" s="71"/>
      <c r="H44" s="70"/>
      <c r="I44" s="55"/>
      <c r="J44" s="71"/>
      <c r="T44" s="62"/>
      <c r="U44" s="60">
        <v>47333.46</v>
      </c>
      <c r="V44" s="61">
        <v>0.22</v>
      </c>
      <c r="W44" s="64"/>
      <c r="Y44" s="54">
        <f>AA44/U43</f>
        <v>0.6467962529</v>
      </c>
      <c r="Z44" s="54">
        <f>AA42/Y41</f>
        <v>0.2375569918</v>
      </c>
      <c r="AA44" s="47">
        <f>Y41-AA42</f>
        <v>17702.6</v>
      </c>
    </row>
    <row r="45">
      <c r="A45" s="65"/>
      <c r="C45" s="70"/>
      <c r="D45" s="55"/>
      <c r="E45" s="71"/>
      <c r="H45" s="70"/>
      <c r="I45" s="55"/>
      <c r="J45" s="71"/>
      <c r="T45" s="62"/>
      <c r="U45" s="56"/>
      <c r="V45" s="56"/>
      <c r="W45" s="56"/>
    </row>
    <row r="46">
      <c r="A46" s="65"/>
      <c r="C46" s="70"/>
      <c r="D46" s="55"/>
      <c r="E46" s="71"/>
      <c r="H46" s="70"/>
      <c r="I46" s="55"/>
      <c r="J46" s="71"/>
      <c r="T46" s="62"/>
      <c r="U46" s="61">
        <f>W46/U43</f>
        <v>0.1516792128</v>
      </c>
      <c r="V46" s="56"/>
      <c r="W46" s="62">
        <f>SUM(W37:W44)</f>
        <v>4151.41</v>
      </c>
    </row>
    <row r="47">
      <c r="C47" s="70"/>
      <c r="D47" s="55"/>
      <c r="E47" s="71"/>
      <c r="H47" s="70"/>
      <c r="I47" s="55"/>
      <c r="J47" s="71"/>
      <c r="T47" s="62"/>
    </row>
    <row r="48">
      <c r="C48" s="70"/>
      <c r="D48" s="55"/>
      <c r="E48" s="71"/>
      <c r="H48" s="70"/>
      <c r="I48" s="55"/>
      <c r="J48" s="71"/>
      <c r="T48" s="62"/>
      <c r="U48" s="49" t="s">
        <v>70</v>
      </c>
      <c r="V48" s="56"/>
      <c r="W48" s="56"/>
      <c r="Y48" s="50" t="s">
        <v>66</v>
      </c>
      <c r="AB48" s="47"/>
    </row>
    <row r="49">
      <c r="C49" s="70"/>
      <c r="D49" s="55"/>
      <c r="E49" s="71"/>
      <c r="H49" s="70"/>
      <c r="I49" s="55"/>
      <c r="J49" s="71"/>
      <c r="T49" s="56"/>
      <c r="U49" s="60">
        <v>1302.0</v>
      </c>
      <c r="V49" s="61">
        <v>0.075</v>
      </c>
      <c r="W49" s="62">
        <f>ROUND(U49*V49,2)</f>
        <v>97.65</v>
      </c>
      <c r="Y49" s="51">
        <v>1903.98</v>
      </c>
      <c r="Z49" s="53">
        <v>0.0</v>
      </c>
      <c r="AA49" s="51">
        <f>Y49*Z49</f>
        <v>0</v>
      </c>
      <c r="AB49" s="51">
        <v>0.0</v>
      </c>
    </row>
    <row r="50">
      <c r="C50" s="70"/>
      <c r="D50" s="55"/>
      <c r="E50" s="71"/>
      <c r="H50" s="70"/>
      <c r="I50" s="55"/>
      <c r="J50" s="71"/>
      <c r="T50" s="61"/>
      <c r="U50" s="60">
        <v>2571.29</v>
      </c>
      <c r="V50" s="61">
        <v>0.09</v>
      </c>
      <c r="W50" s="62">
        <f t="shared" ref="W50:W55" si="81">ROUND((U50-U49)*V50,2)</f>
        <v>114.24</v>
      </c>
      <c r="Y50" s="51">
        <v>2826.65</v>
      </c>
      <c r="Z50" s="53">
        <v>0.075</v>
      </c>
      <c r="AA50" s="51">
        <f t="shared" ref="AA50:AA53" si="82">ROUND((Y50-Y49)*Z50,2)</f>
        <v>69.2</v>
      </c>
      <c r="AB50" s="51">
        <v>142.8</v>
      </c>
    </row>
    <row r="51">
      <c r="C51" s="70"/>
      <c r="D51" s="55"/>
      <c r="E51" s="71"/>
      <c r="H51" s="70"/>
      <c r="I51" s="55"/>
      <c r="J51" s="71"/>
      <c r="T51" s="56"/>
      <c r="U51" s="60">
        <v>3856.94</v>
      </c>
      <c r="V51" s="61">
        <v>0.12</v>
      </c>
      <c r="W51" s="62">
        <f t="shared" si="81"/>
        <v>154.28</v>
      </c>
      <c r="Y51" s="51">
        <v>3751.05</v>
      </c>
      <c r="Z51" s="53">
        <v>0.15</v>
      </c>
      <c r="AA51" s="51">
        <f t="shared" si="82"/>
        <v>138.66</v>
      </c>
      <c r="AB51" s="51">
        <v>354.8</v>
      </c>
    </row>
    <row r="52">
      <c r="C52" s="70"/>
      <c r="D52" s="55"/>
      <c r="E52" s="71"/>
      <c r="H52" s="70"/>
      <c r="I52" s="55"/>
      <c r="J52" s="71"/>
      <c r="T52" s="56"/>
      <c r="U52" s="60">
        <v>7507.49</v>
      </c>
      <c r="V52" s="61">
        <v>0.14</v>
      </c>
      <c r="W52" s="62">
        <f t="shared" si="81"/>
        <v>511.08</v>
      </c>
      <c r="Y52" s="51">
        <v>4664.68</v>
      </c>
      <c r="Z52" s="53">
        <v>0.225</v>
      </c>
      <c r="AA52" s="51">
        <f t="shared" si="82"/>
        <v>205.57</v>
      </c>
      <c r="AB52" s="51">
        <v>636.13</v>
      </c>
    </row>
    <row r="53">
      <c r="C53" s="70"/>
      <c r="D53" s="55"/>
      <c r="E53" s="71"/>
      <c r="H53" s="70"/>
      <c r="I53" s="55"/>
      <c r="J53" s="71"/>
      <c r="T53" s="49"/>
      <c r="U53" s="60">
        <v>12856.5</v>
      </c>
      <c r="V53" s="61">
        <v>0.145</v>
      </c>
      <c r="W53" s="62">
        <f t="shared" si="81"/>
        <v>775.61</v>
      </c>
      <c r="Y53" s="51">
        <f>U55-W58</f>
        <v>23280.72</v>
      </c>
      <c r="Z53" s="53">
        <v>0.275</v>
      </c>
      <c r="AA53" s="51">
        <f t="shared" si="82"/>
        <v>5119.41</v>
      </c>
      <c r="AB53" s="51">
        <v>869.36</v>
      </c>
    </row>
    <row r="54">
      <c r="C54" s="70"/>
      <c r="D54" s="55"/>
      <c r="E54" s="71"/>
      <c r="H54" s="70"/>
      <c r="I54" s="55"/>
      <c r="J54" s="71"/>
      <c r="T54" s="62"/>
      <c r="U54" s="60">
        <v>25712.99</v>
      </c>
      <c r="V54" s="61">
        <v>0.165</v>
      </c>
      <c r="W54" s="62">
        <f t="shared" si="81"/>
        <v>2121.32</v>
      </c>
      <c r="AA54" s="47">
        <f>SUM(AA49:AA53)</f>
        <v>5532.84</v>
      </c>
      <c r="AB54" s="47"/>
    </row>
    <row r="55">
      <c r="C55" s="70"/>
      <c r="D55" s="55"/>
      <c r="E55" s="71"/>
      <c r="H55" s="70"/>
      <c r="I55" s="55"/>
      <c r="J55" s="71"/>
      <c r="T55" s="62"/>
      <c r="U55" s="62">
        <v>27369.67</v>
      </c>
      <c r="V55" s="61">
        <v>0.19</v>
      </c>
      <c r="W55" s="62">
        <f t="shared" si="81"/>
        <v>314.77</v>
      </c>
      <c r="Y55" s="47">
        <f>Y53*Z53-AB53</f>
        <v>5532.838</v>
      </c>
      <c r="Z55" s="58">
        <f>Y55-AA54</f>
        <v>-0.002</v>
      </c>
    </row>
    <row r="56">
      <c r="C56" s="70"/>
      <c r="D56" s="55"/>
      <c r="E56" s="71"/>
      <c r="H56" s="70"/>
      <c r="I56" s="55"/>
      <c r="J56" s="71"/>
      <c r="T56" s="62"/>
      <c r="U56" s="62">
        <v>50140.33</v>
      </c>
      <c r="V56" s="61">
        <v>0.22</v>
      </c>
      <c r="W56" s="64"/>
      <c r="Y56" s="54">
        <f>AA56/U55</f>
        <v>0.648450639</v>
      </c>
      <c r="Z56" s="54">
        <f>AA54/Y53</f>
        <v>0.2376575982</v>
      </c>
      <c r="AA56" s="47">
        <f>Y53-AA54</f>
        <v>17747.88</v>
      </c>
    </row>
    <row r="57">
      <c r="C57" s="70"/>
      <c r="D57" s="55"/>
      <c r="E57" s="71"/>
      <c r="H57" s="70"/>
      <c r="I57" s="55"/>
      <c r="J57" s="71"/>
      <c r="T57" s="62"/>
      <c r="U57" s="56"/>
      <c r="V57" s="56"/>
      <c r="W57" s="56"/>
    </row>
    <row r="58">
      <c r="T58" s="62"/>
      <c r="U58" s="61">
        <f>W58/U55</f>
        <v>0.1493971246</v>
      </c>
      <c r="V58" s="56"/>
      <c r="W58" s="62">
        <f>SUM(W49:W56)</f>
        <v>4088.95</v>
      </c>
      <c r="AB58" s="47"/>
    </row>
    <row r="59">
      <c r="T59" s="62"/>
      <c r="U59" s="56"/>
      <c r="V59" s="56"/>
      <c r="W59" s="56"/>
      <c r="AB59" s="47"/>
    </row>
    <row r="60">
      <c r="T60" s="62"/>
      <c r="U60" s="50" t="s">
        <v>71</v>
      </c>
      <c r="Y60" s="50" t="s">
        <v>72</v>
      </c>
      <c r="AB60" s="47"/>
    </row>
    <row r="61">
      <c r="T61" s="62"/>
      <c r="U61" s="51">
        <v>1320.0</v>
      </c>
      <c r="V61" s="52">
        <v>0.075</v>
      </c>
      <c r="W61" s="51">
        <f>ROUND(U61*V61,2)</f>
        <v>99</v>
      </c>
      <c r="Y61" s="51">
        <v>2112.0</v>
      </c>
      <c r="Z61" s="52">
        <v>0.0</v>
      </c>
      <c r="AA61" s="51">
        <f>Y61*Z61</f>
        <v>0</v>
      </c>
      <c r="AB61" s="51">
        <v>0.0</v>
      </c>
    </row>
    <row r="62">
      <c r="T62" s="56"/>
      <c r="U62" s="51">
        <v>2571.29</v>
      </c>
      <c r="V62" s="52">
        <v>0.09</v>
      </c>
      <c r="W62" s="51">
        <f t="shared" ref="W62:W67" si="83">ROUND((U62-U61)*V62,2)</f>
        <v>112.62</v>
      </c>
      <c r="Y62" s="51">
        <v>2826.65</v>
      </c>
      <c r="Z62" s="52">
        <v>0.075</v>
      </c>
      <c r="AA62" s="51">
        <f t="shared" ref="AA62:AA65" si="84">(Y62-Y61)*Z62</f>
        <v>53.59875</v>
      </c>
      <c r="AB62" s="51">
        <v>158.4</v>
      </c>
    </row>
    <row r="63">
      <c r="T63" s="61"/>
      <c r="U63" s="51">
        <v>3856.94</v>
      </c>
      <c r="V63" s="52">
        <v>0.12</v>
      </c>
      <c r="W63" s="51">
        <f t="shared" si="83"/>
        <v>154.28</v>
      </c>
      <c r="Y63" s="51">
        <v>3751.05</v>
      </c>
      <c r="Z63" s="52">
        <v>0.15</v>
      </c>
      <c r="AA63" s="51">
        <f t="shared" si="84"/>
        <v>138.66</v>
      </c>
      <c r="AB63" s="51">
        <v>370.4</v>
      </c>
    </row>
    <row r="64">
      <c r="T64" s="56"/>
      <c r="U64" s="51">
        <v>7507.49</v>
      </c>
      <c r="V64" s="52">
        <v>0.14</v>
      </c>
      <c r="W64" s="51">
        <f t="shared" si="83"/>
        <v>511.08</v>
      </c>
      <c r="Y64" s="51">
        <v>4664.68</v>
      </c>
      <c r="Z64" s="52">
        <v>0.225</v>
      </c>
      <c r="AA64" s="51">
        <f t="shared" si="84"/>
        <v>205.56675</v>
      </c>
      <c r="AB64" s="51">
        <v>651.73</v>
      </c>
    </row>
    <row r="65">
      <c r="T65" s="56"/>
      <c r="U65" s="51">
        <v>12856.5</v>
      </c>
      <c r="V65" s="52">
        <v>0.145</v>
      </c>
      <c r="W65" s="51">
        <f t="shared" si="83"/>
        <v>775.61</v>
      </c>
      <c r="Y65" s="51">
        <f>U67-W70</f>
        <v>25276.24</v>
      </c>
      <c r="Z65" s="52">
        <v>0.275</v>
      </c>
      <c r="AA65" s="51">
        <f t="shared" si="84"/>
        <v>5668.179</v>
      </c>
      <c r="AB65" s="51">
        <v>884.96</v>
      </c>
    </row>
    <row r="66">
      <c r="T66" s="49"/>
      <c r="U66" s="51">
        <v>25712.99</v>
      </c>
      <c r="V66" s="52">
        <v>0.165</v>
      </c>
      <c r="W66" s="51">
        <f t="shared" si="83"/>
        <v>2121.32</v>
      </c>
      <c r="AA66" s="47">
        <f t="shared" ref="AA66:AB66" si="85">SUM(AA61:AA65)</f>
        <v>6066.0045</v>
      </c>
      <c r="AB66" s="47">
        <f t="shared" si="85"/>
        <v>2065.49</v>
      </c>
    </row>
    <row r="67">
      <c r="T67" s="62"/>
      <c r="U67" s="51">
        <v>29832.94</v>
      </c>
      <c r="V67" s="52">
        <v>0.19</v>
      </c>
      <c r="W67" s="51">
        <f t="shared" si="83"/>
        <v>782.79</v>
      </c>
      <c r="Y67" s="47">
        <f>Y65*Z65-AB65</f>
        <v>6066.006</v>
      </c>
      <c r="Z67" s="58">
        <f>Y67-AA66</f>
        <v>0.0015</v>
      </c>
      <c r="AB67" s="47"/>
    </row>
    <row r="68">
      <c r="T68" s="62"/>
      <c r="U68" s="51">
        <v>50140.33</v>
      </c>
      <c r="V68" s="52">
        <v>0.22</v>
      </c>
      <c r="W68" s="51"/>
      <c r="Y68" s="54">
        <f>AA68/U67</f>
        <v>0.6439269981</v>
      </c>
      <c r="Z68" s="54">
        <f>AA66/Y65</f>
        <v>0.2399884041</v>
      </c>
      <c r="AA68" s="47">
        <f>Y65-AA66</f>
        <v>19210.2355</v>
      </c>
    </row>
    <row r="69">
      <c r="T69" s="62"/>
      <c r="AB69" s="47"/>
    </row>
    <row r="70">
      <c r="T70" s="62"/>
      <c r="U70" s="54">
        <f>W70/U67</f>
        <v>0.1527405613</v>
      </c>
      <c r="W70" s="47">
        <f>SUM(W61:W68)</f>
        <v>4556.7</v>
      </c>
      <c r="AB70" s="47"/>
    </row>
    <row r="71">
      <c r="T71" s="62"/>
      <c r="AB71" s="47"/>
    </row>
    <row r="72">
      <c r="T72" s="62"/>
      <c r="U72" s="50" t="s">
        <v>73</v>
      </c>
      <c r="Y72" s="50" t="s">
        <v>74</v>
      </c>
      <c r="Z72" s="66"/>
      <c r="AA72" s="66"/>
      <c r="AB72" s="67"/>
    </row>
    <row r="73">
      <c r="T73" s="62"/>
      <c r="U73" s="51">
        <v>1412.0</v>
      </c>
      <c r="V73" s="52">
        <v>0.075</v>
      </c>
      <c r="W73" s="51">
        <f>ROUND(U73*V73,2)</f>
        <v>105.9</v>
      </c>
      <c r="Y73" s="51">
        <v>2259.2</v>
      </c>
      <c r="Z73" s="52">
        <v>0.0</v>
      </c>
      <c r="AA73" s="51">
        <f>Y73*Z73</f>
        <v>0</v>
      </c>
      <c r="AB73" s="51">
        <v>0.0</v>
      </c>
    </row>
    <row r="74">
      <c r="T74" s="62"/>
      <c r="U74" s="51">
        <v>2666.68</v>
      </c>
      <c r="V74" s="52">
        <v>0.09</v>
      </c>
      <c r="W74" s="51">
        <f t="shared" ref="W74:W79" si="86">ROUND((U74-U73)*V74,2)</f>
        <v>112.92</v>
      </c>
      <c r="Y74" s="51">
        <v>2828.65</v>
      </c>
      <c r="Z74" s="52">
        <v>0.075</v>
      </c>
      <c r="AA74" s="51">
        <f t="shared" ref="AA74:AA77" si="87">ROUND((Y74-Y73)*Z74,2)</f>
        <v>42.71</v>
      </c>
      <c r="AB74" s="51">
        <f>Z74*Y73</f>
        <v>169.44</v>
      </c>
    </row>
    <row r="75">
      <c r="T75" s="56"/>
      <c r="U75" s="51">
        <v>4000.63</v>
      </c>
      <c r="V75" s="52">
        <v>0.12</v>
      </c>
      <c r="W75" s="51">
        <f t="shared" si="86"/>
        <v>160.07</v>
      </c>
      <c r="Y75" s="51">
        <v>3751.05</v>
      </c>
      <c r="Z75" s="52">
        <v>0.15</v>
      </c>
      <c r="AA75" s="51">
        <f t="shared" si="87"/>
        <v>138.36</v>
      </c>
      <c r="AB75" s="51">
        <v>381.44</v>
      </c>
    </row>
    <row r="76">
      <c r="T76" s="61"/>
      <c r="U76" s="51">
        <v>7786.02</v>
      </c>
      <c r="V76" s="52">
        <v>0.14</v>
      </c>
      <c r="W76" s="51">
        <f t="shared" si="86"/>
        <v>529.95</v>
      </c>
      <c r="Y76" s="51">
        <v>4664.68</v>
      </c>
      <c r="Z76" s="52">
        <v>0.225</v>
      </c>
      <c r="AA76" s="51">
        <f t="shared" si="87"/>
        <v>205.57</v>
      </c>
      <c r="AB76" s="51">
        <v>662.77</v>
      </c>
    </row>
    <row r="77">
      <c r="T77" s="56"/>
      <c r="U77" s="51">
        <v>13333.48</v>
      </c>
      <c r="V77" s="52">
        <v>0.145</v>
      </c>
      <c r="W77" s="51">
        <f t="shared" si="86"/>
        <v>804.38</v>
      </c>
      <c r="Y77" s="51">
        <f>U79-W82</f>
        <v>25318.16</v>
      </c>
      <c r="Z77" s="52">
        <v>0.275</v>
      </c>
      <c r="AA77" s="51">
        <f t="shared" si="87"/>
        <v>5679.71</v>
      </c>
      <c r="AB77" s="51">
        <v>896.0</v>
      </c>
    </row>
    <row r="78">
      <c r="T78" s="56"/>
      <c r="U78" s="51">
        <v>26666.94</v>
      </c>
      <c r="V78" s="52">
        <v>0.165</v>
      </c>
      <c r="W78" s="51">
        <f t="shared" si="86"/>
        <v>2200.02</v>
      </c>
      <c r="AA78" s="47">
        <f>SUM(AA73:AA77)</f>
        <v>6066.35</v>
      </c>
      <c r="AB78" s="47"/>
    </row>
    <row r="79">
      <c r="T79" s="50"/>
      <c r="U79" s="51">
        <v>29832.94</v>
      </c>
      <c r="V79" s="52">
        <v>0.19</v>
      </c>
      <c r="W79" s="51">
        <f t="shared" si="86"/>
        <v>601.54</v>
      </c>
      <c r="Y79" s="47">
        <f>Y77*Z77-AB77</f>
        <v>6066.494</v>
      </c>
      <c r="Z79" s="58">
        <f>Y79-AA78</f>
        <v>0.144</v>
      </c>
    </row>
    <row r="80">
      <c r="T80" s="51"/>
      <c r="U80" s="51">
        <v>52000.54</v>
      </c>
      <c r="V80" s="52">
        <v>0.22</v>
      </c>
      <c r="W80" s="51"/>
      <c r="Y80" s="54">
        <f>AA80/U79</f>
        <v>0.6453205752</v>
      </c>
      <c r="Z80" s="54">
        <f>AA78/Y77</f>
        <v>0.2396046948</v>
      </c>
      <c r="AA80" s="47">
        <f>Y77-AA78</f>
        <v>19251.81</v>
      </c>
      <c r="AB80" s="47"/>
    </row>
    <row r="81">
      <c r="T81" s="51"/>
      <c r="AB81" s="47"/>
    </row>
    <row r="82">
      <c r="T82" s="51"/>
      <c r="U82" s="54">
        <f>W82/U79</f>
        <v>0.1513354031</v>
      </c>
      <c r="W82" s="47">
        <f>SUM(W73:W80)</f>
        <v>4514.78</v>
      </c>
      <c r="AB82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9" width="12.38"/>
    <col customWidth="1" min="20" max="20" width="4.75"/>
    <col customWidth="1" min="21" max="21" width="2.88"/>
  </cols>
  <sheetData>
    <row r="1">
      <c r="A1" s="32" t="s">
        <v>9</v>
      </c>
      <c r="B1" s="33" t="str">
        <f>'Página11'!B1</f>
        <v>PGFN | Real (bruto)</v>
      </c>
      <c r="C1" s="33" t="str">
        <f>'Página11'!C1</f>
        <v>PGFN | Ideal (bruto)</v>
      </c>
      <c r="D1" s="33" t="str">
        <f>'Página11'!D1</f>
        <v>SERFB | Real (bruto)</v>
      </c>
      <c r="E1" s="33" t="str">
        <f>'Página11'!E1</f>
        <v>SERFB | Ideal (bruto)</v>
      </c>
      <c r="F1" s="33" t="str">
        <f>'Página11'!F1</f>
        <v>STN (bruto)</v>
      </c>
      <c r="G1" s="33" t="str">
        <f>'Página11'!G1</f>
        <v>PGFN | Real (líquido)</v>
      </c>
      <c r="H1" s="33" t="str">
        <f>'Página11'!H1</f>
        <v>PGFN | Ideal (líquido)</v>
      </c>
      <c r="I1" s="33" t="str">
        <f>'Página11'!I1</f>
        <v>SERFB | Real (líquido)</v>
      </c>
      <c r="J1" s="33" t="str">
        <f>'Página11'!J1</f>
        <v>SERFB | Ideal (líquido)</v>
      </c>
      <c r="K1" s="33" t="str">
        <f>'Página11'!K1</f>
        <v>STN (líquido)</v>
      </c>
      <c r="L1" s="33" t="str">
        <f>'Página11'!L1</f>
        <v>PGFN: subsídio (bruto)</v>
      </c>
      <c r="M1" s="33" t="str">
        <f>'Página11'!M1</f>
        <v>PGFN: HA (bruto)</v>
      </c>
      <c r="N1" s="33" t="str">
        <f>'Página11'!N1</f>
        <v>SERFB: VB (bruto)</v>
      </c>
      <c r="O1" s="33" t="str">
        <f>'Página11'!O1</f>
        <v>SERFB: BEP (bruto)</v>
      </c>
      <c r="P1" s="33" t="str">
        <f>'Página11'!P1</f>
        <v>PGFN: subsídio (líquido)</v>
      </c>
      <c r="Q1" s="33" t="str">
        <f>'Página11'!Q1</f>
        <v>PGFN: HA (líquido)</v>
      </c>
      <c r="R1" s="33" t="str">
        <f>'Página11'!R1</f>
        <v>SERFB: VB (líquido)</v>
      </c>
      <c r="S1" s="33" t="str">
        <f>'Página11'!S1</f>
        <v>SERFB: BEP (líquido)</v>
      </c>
      <c r="T1" s="33"/>
      <c r="U1" s="33"/>
    </row>
    <row r="2">
      <c r="A2" s="34">
        <v>42370.0</v>
      </c>
      <c r="B2" s="48">
        <f t="shared" ref="B2:B73" si="1">ROUND(IF(MONTH($A2)=12,2.333,1)*(L2+ROUND((M2/13.33333)*12,2)),2)</f>
        <v>22516.94</v>
      </c>
      <c r="C2" s="48">
        <f>ROUND(IF(MONTH($A2)=12,2.333,1)*VLOOKUP($A2,'Página11'!$A$1:$S$27,COLUMN(),TRUE),2)</f>
        <v>22516.95</v>
      </c>
      <c r="D2" s="48">
        <f t="shared" ref="D2:D145" si="2">ROUND(IF(MONTH($A2)=12,2.333,1)*(N2+ROUND((O2/13.33333)*12,2)),2)</f>
        <v>22516.88</v>
      </c>
      <c r="E2" s="48">
        <f>ROUND(IF(MONTH($A2)=12,2.333,1)*VLOOKUP($A2,'Página11'!$A$1:$S$27,COLUMN(),TRUE),2)</f>
        <v>22516.95</v>
      </c>
      <c r="F2" s="48">
        <f>ROUND(IF(MONTH($A2)=12,2.333,1)*VLOOKUP($A2,'Página11'!$A$1:$S$27,COLUMN(),TRUE),2)</f>
        <v>21391.1</v>
      </c>
      <c r="G2" s="48">
        <f t="shared" ref="G2:G73" si="3">ROUND(IF(MONTH($A2)=12,2.333,1)*(P2+ROUND((Q2/13.33333)*12,2)),2)</f>
        <v>15398.42</v>
      </c>
      <c r="H2" s="48">
        <f>ROUND(IF(MONTH($A2)=12,2.333,1)*VLOOKUP($A2,'Página11'!$A$1:$S$27,COLUMN(),TRUE),2)</f>
        <v>15398.42</v>
      </c>
      <c r="I2" s="48">
        <f t="shared" ref="I2:I145" si="4">ROUND(IF(MONTH($A2)=12,2.333,1)*(R2+ROUND((S2/13.33333)*12,2)),2)</f>
        <v>15398.37</v>
      </c>
      <c r="J2" s="48">
        <f>ROUND(IF(MONTH($A2)=12,2.333,1)*VLOOKUP($A2,'Página11'!$A$1:$S$27,COLUMN(),TRUE),2)</f>
        <v>15398.42</v>
      </c>
      <c r="K2" s="48">
        <f>ROUND(IF(MONTH($A2)=12,2.333,1)*VLOOKUP($A2,'Página11'!$A$1:$S$27,COLUMN(),TRUE),2)</f>
        <v>14671.97</v>
      </c>
      <c r="L2" s="48">
        <f>VLOOKUP($A2,'Página11'!$A$1:$S$27,COLUMN(),TRUE)</f>
        <v>22516.94</v>
      </c>
      <c r="M2" s="48">
        <f>VLOOKUP($A2,'Página11'!$A$1:$S$27,COLUMN(),TRUE)</f>
        <v>0</v>
      </c>
      <c r="N2" s="48">
        <f>VLOOKUP($A2,'Página11'!$A$1:$S$27,COLUMN(),TRUE)</f>
        <v>22516.88</v>
      </c>
      <c r="O2" s="48">
        <f>VLOOKUP($A2,'Página11'!$A$1:$S$27,COLUMN(),TRUE)</f>
        <v>0</v>
      </c>
      <c r="P2" s="48">
        <f>VLOOKUP($A2,'Página11'!$A$1:$S$27,COLUMN(),TRUE)</f>
        <v>15398.418</v>
      </c>
      <c r="Q2" s="48">
        <f>VLOOKUP($A2,'Página11'!$A$1:$S$27,COLUMN(),TRUE)</f>
        <v>0</v>
      </c>
      <c r="R2" s="48">
        <f>VLOOKUP($A2,'Página11'!$A$1:$S$27,COLUMN(),TRUE)</f>
        <v>15398.3745</v>
      </c>
      <c r="S2" s="48">
        <f>VLOOKUP($A2,'Página11'!$A$1:$S$27,COLUMN(),TRUE)</f>
        <v>0</v>
      </c>
      <c r="T2" s="73">
        <f t="shared" ref="T2:T145" si="5">YEAR(A2)</f>
        <v>2016</v>
      </c>
      <c r="U2" s="73">
        <f t="shared" ref="U2:U145" si="6">MONTH(A2)</f>
        <v>1</v>
      </c>
    </row>
    <row r="3">
      <c r="A3" s="34">
        <v>42401.0</v>
      </c>
      <c r="B3" s="48">
        <f t="shared" si="1"/>
        <v>22516.94</v>
      </c>
      <c r="C3" s="48">
        <f>ROUND(IF(MONTH($A3)=12,2.333,1)*VLOOKUP($A3,'Página11'!$A$1:$S$27,COLUMN(),TRUE),2)</f>
        <v>22516.95</v>
      </c>
      <c r="D3" s="48">
        <f t="shared" si="2"/>
        <v>22516.88</v>
      </c>
      <c r="E3" s="48">
        <f>ROUND(IF(MONTH($A3)=12,2.333,1)*VLOOKUP($A3,'Página11'!$A$1:$S$27,COLUMN(),TRUE),2)</f>
        <v>22516.95</v>
      </c>
      <c r="F3" s="48">
        <f>ROUND(IF(MONTH($A3)=12,2.333,1)*VLOOKUP($A3,'Página11'!$A$1:$S$27,COLUMN(),TRUE),2)</f>
        <v>21391.1</v>
      </c>
      <c r="G3" s="48">
        <f t="shared" si="3"/>
        <v>15398.42</v>
      </c>
      <c r="H3" s="48">
        <f>ROUND(IF(MONTH($A3)=12,2.333,1)*VLOOKUP($A3,'Página11'!$A$1:$S$27,COLUMN(),TRUE),2)</f>
        <v>15398.42</v>
      </c>
      <c r="I3" s="48">
        <f t="shared" si="4"/>
        <v>15398.37</v>
      </c>
      <c r="J3" s="48">
        <f>ROUND(IF(MONTH($A3)=12,2.333,1)*VLOOKUP($A3,'Página11'!$A$1:$S$27,COLUMN(),TRUE),2)</f>
        <v>15398.42</v>
      </c>
      <c r="K3" s="48">
        <f>ROUND(IF(MONTH($A3)=12,2.333,1)*VLOOKUP($A3,'Página11'!$A$1:$S$27,COLUMN(),TRUE),2)</f>
        <v>14671.97</v>
      </c>
      <c r="L3" s="48">
        <f>VLOOKUP($A3,'Página11'!$A$1:$S$27,COLUMN(),TRUE)</f>
        <v>22516.94</v>
      </c>
      <c r="M3" s="48">
        <f>VLOOKUP($A3,'Página11'!$A$1:$S$27,COLUMN(),TRUE)</f>
        <v>0</v>
      </c>
      <c r="N3" s="48">
        <f>VLOOKUP($A3,'Página11'!$A$1:$S$27,COLUMN(),TRUE)</f>
        <v>22516.88</v>
      </c>
      <c r="O3" s="48">
        <f>VLOOKUP($A3,'Página11'!$A$1:$S$27,COLUMN(),TRUE)</f>
        <v>0</v>
      </c>
      <c r="P3" s="48">
        <f>VLOOKUP($A3,'Página11'!$A$1:$S$27,COLUMN(),TRUE)</f>
        <v>15398.418</v>
      </c>
      <c r="Q3" s="48">
        <f>VLOOKUP($A3,'Página11'!$A$1:$S$27,COLUMN(),TRUE)</f>
        <v>0</v>
      </c>
      <c r="R3" s="48">
        <f>VLOOKUP($A3,'Página11'!$A$1:$S$27,COLUMN(),TRUE)</f>
        <v>15398.3745</v>
      </c>
      <c r="S3" s="48">
        <f>VLOOKUP($A3,'Página11'!$A$1:$S$27,COLUMN(),TRUE)</f>
        <v>0</v>
      </c>
      <c r="T3" s="73">
        <f t="shared" si="5"/>
        <v>2016</v>
      </c>
      <c r="U3" s="73">
        <f t="shared" si="6"/>
        <v>2</v>
      </c>
    </row>
    <row r="4">
      <c r="A4" s="34">
        <v>42430.0</v>
      </c>
      <c r="B4" s="48">
        <f t="shared" si="1"/>
        <v>22516.94</v>
      </c>
      <c r="C4" s="48">
        <f>ROUND(IF(MONTH($A4)=12,2.333,1)*VLOOKUP($A4,'Página11'!$A$1:$S$27,COLUMN(),TRUE),2)</f>
        <v>22516.95</v>
      </c>
      <c r="D4" s="48">
        <f t="shared" si="2"/>
        <v>22516.88</v>
      </c>
      <c r="E4" s="48">
        <f>ROUND(IF(MONTH($A4)=12,2.333,1)*VLOOKUP($A4,'Página11'!$A$1:$S$27,COLUMN(),TRUE),2)</f>
        <v>22516.95</v>
      </c>
      <c r="F4" s="48">
        <f>ROUND(IF(MONTH($A4)=12,2.333,1)*VLOOKUP($A4,'Página11'!$A$1:$S$27,COLUMN(),TRUE),2)</f>
        <v>21391.1</v>
      </c>
      <c r="G4" s="48">
        <f t="shared" si="3"/>
        <v>15398.42</v>
      </c>
      <c r="H4" s="48">
        <f>ROUND(IF(MONTH($A4)=12,2.333,1)*VLOOKUP($A4,'Página11'!$A$1:$S$27,COLUMN(),TRUE),2)</f>
        <v>15398.42</v>
      </c>
      <c r="I4" s="48">
        <f t="shared" si="4"/>
        <v>15398.37</v>
      </c>
      <c r="J4" s="48">
        <f>ROUND(IF(MONTH($A4)=12,2.333,1)*VLOOKUP($A4,'Página11'!$A$1:$S$27,COLUMN(),TRUE),2)</f>
        <v>15398.42</v>
      </c>
      <c r="K4" s="48">
        <f>ROUND(IF(MONTH($A4)=12,2.333,1)*VLOOKUP($A4,'Página11'!$A$1:$S$27,COLUMN(),TRUE),2)</f>
        <v>14671.97</v>
      </c>
      <c r="L4" s="48">
        <f>VLOOKUP($A4,'Página11'!$A$1:$S$27,COLUMN(),TRUE)</f>
        <v>22516.94</v>
      </c>
      <c r="M4" s="48">
        <f>VLOOKUP($A4,'Página11'!$A$1:$S$27,COLUMN(),TRUE)</f>
        <v>0</v>
      </c>
      <c r="N4" s="48">
        <f>VLOOKUP($A4,'Página11'!$A$1:$S$27,COLUMN(),TRUE)</f>
        <v>22516.88</v>
      </c>
      <c r="O4" s="48">
        <f>VLOOKUP($A4,'Página11'!$A$1:$S$27,COLUMN(),TRUE)</f>
        <v>0</v>
      </c>
      <c r="P4" s="48">
        <f>VLOOKUP($A4,'Página11'!$A$1:$S$27,COLUMN(),TRUE)</f>
        <v>15398.418</v>
      </c>
      <c r="Q4" s="48">
        <f>VLOOKUP($A4,'Página11'!$A$1:$S$27,COLUMN(),TRUE)</f>
        <v>0</v>
      </c>
      <c r="R4" s="48">
        <f>VLOOKUP($A4,'Página11'!$A$1:$S$27,COLUMN(),TRUE)</f>
        <v>15398.3745</v>
      </c>
      <c r="S4" s="48">
        <f>VLOOKUP($A4,'Página11'!$A$1:$S$27,COLUMN(),TRUE)</f>
        <v>0</v>
      </c>
      <c r="T4" s="73">
        <f t="shared" si="5"/>
        <v>2016</v>
      </c>
      <c r="U4" s="73">
        <f t="shared" si="6"/>
        <v>3</v>
      </c>
    </row>
    <row r="5">
      <c r="A5" s="34">
        <v>42461.0</v>
      </c>
      <c r="B5" s="48">
        <f t="shared" si="1"/>
        <v>22516.94</v>
      </c>
      <c r="C5" s="48">
        <f>ROUND(IF(MONTH($A5)=12,2.333,1)*VLOOKUP($A5,'Página11'!$A$1:$S$27,COLUMN(),TRUE),2)</f>
        <v>22516.95</v>
      </c>
      <c r="D5" s="48">
        <f t="shared" si="2"/>
        <v>22516.88</v>
      </c>
      <c r="E5" s="48">
        <f>ROUND(IF(MONTH($A5)=12,2.333,1)*VLOOKUP($A5,'Página11'!$A$1:$S$27,COLUMN(),TRUE),2)</f>
        <v>22516.95</v>
      </c>
      <c r="F5" s="48">
        <f>ROUND(IF(MONTH($A5)=12,2.333,1)*VLOOKUP($A5,'Página11'!$A$1:$S$27,COLUMN(),TRUE),2)</f>
        <v>21391.1</v>
      </c>
      <c r="G5" s="48">
        <f t="shared" si="3"/>
        <v>15398.42</v>
      </c>
      <c r="H5" s="48">
        <f>ROUND(IF(MONTH($A5)=12,2.333,1)*VLOOKUP($A5,'Página11'!$A$1:$S$27,COLUMN(),TRUE),2)</f>
        <v>15398.42</v>
      </c>
      <c r="I5" s="48">
        <f t="shared" si="4"/>
        <v>15398.37</v>
      </c>
      <c r="J5" s="48">
        <f>ROUND(IF(MONTH($A5)=12,2.333,1)*VLOOKUP($A5,'Página11'!$A$1:$S$27,COLUMN(),TRUE),2)</f>
        <v>15398.42</v>
      </c>
      <c r="K5" s="48">
        <f>ROUND(IF(MONTH($A5)=12,2.333,1)*VLOOKUP($A5,'Página11'!$A$1:$S$27,COLUMN(),TRUE),2)</f>
        <v>14671.97</v>
      </c>
      <c r="L5" s="48">
        <f>VLOOKUP($A5,'Página11'!$A$1:$S$27,COLUMN(),TRUE)</f>
        <v>22516.94</v>
      </c>
      <c r="M5" s="48">
        <f>VLOOKUP($A5,'Página11'!$A$1:$S$27,COLUMN(),TRUE)</f>
        <v>0</v>
      </c>
      <c r="N5" s="48">
        <f>VLOOKUP($A5,'Página11'!$A$1:$S$27,COLUMN(),TRUE)</f>
        <v>22516.88</v>
      </c>
      <c r="O5" s="48">
        <f>VLOOKUP($A5,'Página11'!$A$1:$S$27,COLUMN(),TRUE)</f>
        <v>0</v>
      </c>
      <c r="P5" s="48">
        <f>VLOOKUP($A5,'Página11'!$A$1:$S$27,COLUMN(),TRUE)</f>
        <v>15398.418</v>
      </c>
      <c r="Q5" s="48">
        <f>VLOOKUP($A5,'Página11'!$A$1:$S$27,COLUMN(),TRUE)</f>
        <v>0</v>
      </c>
      <c r="R5" s="48">
        <f>VLOOKUP($A5,'Página11'!$A$1:$S$27,COLUMN(),TRUE)</f>
        <v>15398.3745</v>
      </c>
      <c r="S5" s="48">
        <f>VLOOKUP($A5,'Página11'!$A$1:$S$27,COLUMN(),TRUE)</f>
        <v>0</v>
      </c>
      <c r="T5" s="73">
        <f t="shared" si="5"/>
        <v>2016</v>
      </c>
      <c r="U5" s="73">
        <f t="shared" si="6"/>
        <v>4</v>
      </c>
    </row>
    <row r="6">
      <c r="A6" s="34">
        <v>42491.0</v>
      </c>
      <c r="B6" s="48">
        <f t="shared" si="1"/>
        <v>22516.94</v>
      </c>
      <c r="C6" s="48">
        <f>ROUND(IF(MONTH($A6)=12,2.333,1)*VLOOKUP($A6,'Página11'!$A$1:$S$27,COLUMN(),TRUE),2)</f>
        <v>22516.95</v>
      </c>
      <c r="D6" s="48">
        <f t="shared" si="2"/>
        <v>22516.88</v>
      </c>
      <c r="E6" s="48">
        <f>ROUND(IF(MONTH($A6)=12,2.333,1)*VLOOKUP($A6,'Página11'!$A$1:$S$27,COLUMN(),TRUE),2)</f>
        <v>22516.95</v>
      </c>
      <c r="F6" s="48">
        <f>ROUND(IF(MONTH($A6)=12,2.333,1)*VLOOKUP($A6,'Página11'!$A$1:$S$27,COLUMN(),TRUE),2)</f>
        <v>21391.1</v>
      </c>
      <c r="G6" s="48">
        <f t="shared" si="3"/>
        <v>15398.42</v>
      </c>
      <c r="H6" s="48">
        <f>ROUND(IF(MONTH($A6)=12,2.333,1)*VLOOKUP($A6,'Página11'!$A$1:$S$27,COLUMN(),TRUE),2)</f>
        <v>15398.42</v>
      </c>
      <c r="I6" s="48">
        <f t="shared" si="4"/>
        <v>15398.37</v>
      </c>
      <c r="J6" s="48">
        <f>ROUND(IF(MONTH($A6)=12,2.333,1)*VLOOKUP($A6,'Página11'!$A$1:$S$27,COLUMN(),TRUE),2)</f>
        <v>15398.42</v>
      </c>
      <c r="K6" s="48">
        <f>ROUND(IF(MONTH($A6)=12,2.333,1)*VLOOKUP($A6,'Página11'!$A$1:$S$27,COLUMN(),TRUE),2)</f>
        <v>14671.97</v>
      </c>
      <c r="L6" s="48">
        <f>VLOOKUP($A6,'Página11'!$A$1:$S$27,COLUMN(),TRUE)</f>
        <v>22516.94</v>
      </c>
      <c r="M6" s="48">
        <f>VLOOKUP($A6,'Página11'!$A$1:$S$27,COLUMN(),TRUE)</f>
        <v>0</v>
      </c>
      <c r="N6" s="48">
        <f>VLOOKUP($A6,'Página11'!$A$1:$S$27,COLUMN(),TRUE)</f>
        <v>22516.88</v>
      </c>
      <c r="O6" s="48">
        <f>VLOOKUP($A6,'Página11'!$A$1:$S$27,COLUMN(),TRUE)</f>
        <v>0</v>
      </c>
      <c r="P6" s="48">
        <f>VLOOKUP($A6,'Página11'!$A$1:$S$27,COLUMN(),TRUE)</f>
        <v>15398.418</v>
      </c>
      <c r="Q6" s="48">
        <f>VLOOKUP($A6,'Página11'!$A$1:$S$27,COLUMN(),TRUE)</f>
        <v>0</v>
      </c>
      <c r="R6" s="48">
        <f>VLOOKUP($A6,'Página11'!$A$1:$S$27,COLUMN(),TRUE)</f>
        <v>15398.3745</v>
      </c>
      <c r="S6" s="48">
        <f>VLOOKUP($A6,'Página11'!$A$1:$S$27,COLUMN(),TRUE)</f>
        <v>0</v>
      </c>
      <c r="T6" s="73">
        <f t="shared" si="5"/>
        <v>2016</v>
      </c>
      <c r="U6" s="73">
        <f t="shared" si="6"/>
        <v>5</v>
      </c>
    </row>
    <row r="7">
      <c r="A7" s="34">
        <v>42522.0</v>
      </c>
      <c r="B7" s="48">
        <f t="shared" si="1"/>
        <v>22516.94</v>
      </c>
      <c r="C7" s="48">
        <f>ROUND(IF(MONTH($A7)=12,2.333,1)*VLOOKUP($A7,'Página11'!$A$1:$S$27,COLUMN(),TRUE),2)</f>
        <v>22516.95</v>
      </c>
      <c r="D7" s="48">
        <f t="shared" si="2"/>
        <v>22516.88</v>
      </c>
      <c r="E7" s="48">
        <f>ROUND(IF(MONTH($A7)=12,2.333,1)*VLOOKUP($A7,'Página11'!$A$1:$S$27,COLUMN(),TRUE),2)</f>
        <v>22516.95</v>
      </c>
      <c r="F7" s="48">
        <f>ROUND(IF(MONTH($A7)=12,2.333,1)*VLOOKUP($A7,'Página11'!$A$1:$S$27,COLUMN(),TRUE),2)</f>
        <v>21391.1</v>
      </c>
      <c r="G7" s="48">
        <f t="shared" si="3"/>
        <v>15398.42</v>
      </c>
      <c r="H7" s="48">
        <f>ROUND(IF(MONTH($A7)=12,2.333,1)*VLOOKUP($A7,'Página11'!$A$1:$S$27,COLUMN(),TRUE),2)</f>
        <v>15398.42</v>
      </c>
      <c r="I7" s="48">
        <f t="shared" si="4"/>
        <v>15398.37</v>
      </c>
      <c r="J7" s="48">
        <f>ROUND(IF(MONTH($A7)=12,2.333,1)*VLOOKUP($A7,'Página11'!$A$1:$S$27,COLUMN(),TRUE),2)</f>
        <v>15398.42</v>
      </c>
      <c r="K7" s="48">
        <f>ROUND(IF(MONTH($A7)=12,2.333,1)*VLOOKUP($A7,'Página11'!$A$1:$S$27,COLUMN(),TRUE),2)</f>
        <v>14671.97</v>
      </c>
      <c r="L7" s="48">
        <f>VLOOKUP($A7,'Página11'!$A$1:$S$27,COLUMN(),TRUE)</f>
        <v>22516.94</v>
      </c>
      <c r="M7" s="48">
        <f>VLOOKUP($A7,'Página11'!$A$1:$S$27,COLUMN(),TRUE)</f>
        <v>0</v>
      </c>
      <c r="N7" s="48">
        <f>VLOOKUP($A7,'Página11'!$A$1:$S$27,COLUMN(),TRUE)</f>
        <v>22516.88</v>
      </c>
      <c r="O7" s="48">
        <f>VLOOKUP($A7,'Página11'!$A$1:$S$27,COLUMN(),TRUE)</f>
        <v>0</v>
      </c>
      <c r="P7" s="48">
        <f>VLOOKUP($A7,'Página11'!$A$1:$S$27,COLUMN(),TRUE)</f>
        <v>15398.418</v>
      </c>
      <c r="Q7" s="48">
        <f>VLOOKUP($A7,'Página11'!$A$1:$S$27,COLUMN(),TRUE)</f>
        <v>0</v>
      </c>
      <c r="R7" s="48">
        <f>VLOOKUP($A7,'Página11'!$A$1:$S$27,COLUMN(),TRUE)</f>
        <v>15398.3745</v>
      </c>
      <c r="S7" s="48">
        <f>VLOOKUP($A7,'Página11'!$A$1:$S$27,COLUMN(),TRUE)</f>
        <v>0</v>
      </c>
      <c r="T7" s="73">
        <f t="shared" si="5"/>
        <v>2016</v>
      </c>
      <c r="U7" s="73">
        <f t="shared" si="6"/>
        <v>6</v>
      </c>
    </row>
    <row r="8">
      <c r="A8" s="34">
        <v>42552.0</v>
      </c>
      <c r="B8" s="48">
        <f t="shared" si="1"/>
        <v>22516.94</v>
      </c>
      <c r="C8" s="48">
        <f>ROUND(IF(MONTH($A8)=12,2.333,1)*VLOOKUP($A8,'Página11'!$A$1:$S$27,COLUMN(),TRUE),2)</f>
        <v>22516.95</v>
      </c>
      <c r="D8" s="48">
        <f t="shared" si="2"/>
        <v>22516.88</v>
      </c>
      <c r="E8" s="48">
        <f>ROUND(IF(MONTH($A8)=12,2.333,1)*VLOOKUP($A8,'Página11'!$A$1:$S$27,COLUMN(),TRUE),2)</f>
        <v>22516.95</v>
      </c>
      <c r="F8" s="48">
        <f>ROUND(IF(MONTH($A8)=12,2.333,1)*VLOOKUP($A8,'Página11'!$A$1:$S$27,COLUMN(),TRUE),2)</f>
        <v>21391.1</v>
      </c>
      <c r="G8" s="48">
        <f t="shared" si="3"/>
        <v>15398.42</v>
      </c>
      <c r="H8" s="48">
        <f>ROUND(IF(MONTH($A8)=12,2.333,1)*VLOOKUP($A8,'Página11'!$A$1:$S$27,COLUMN(),TRUE),2)</f>
        <v>15398.42</v>
      </c>
      <c r="I8" s="48">
        <f t="shared" si="4"/>
        <v>15398.37</v>
      </c>
      <c r="J8" s="48">
        <f>ROUND(IF(MONTH($A8)=12,2.333,1)*VLOOKUP($A8,'Página11'!$A$1:$S$27,COLUMN(),TRUE),2)</f>
        <v>15398.42</v>
      </c>
      <c r="K8" s="48">
        <f>ROUND(IF(MONTH($A8)=12,2.333,1)*VLOOKUP($A8,'Página11'!$A$1:$S$27,COLUMN(),TRUE),2)</f>
        <v>14671.97</v>
      </c>
      <c r="L8" s="48">
        <f>VLOOKUP($A8,'Página11'!$A$1:$S$27,COLUMN(),TRUE)</f>
        <v>22516.94</v>
      </c>
      <c r="M8" s="48">
        <f>VLOOKUP($A8,'Página11'!$A$1:$S$27,COLUMN(),TRUE)</f>
        <v>0</v>
      </c>
      <c r="N8" s="48">
        <f>VLOOKUP($A8,'Página11'!$A$1:$S$27,COLUMN(),TRUE)</f>
        <v>22516.88</v>
      </c>
      <c r="O8" s="48">
        <f>VLOOKUP($A8,'Página11'!$A$1:$S$27,COLUMN(),TRUE)</f>
        <v>0</v>
      </c>
      <c r="P8" s="48">
        <f>VLOOKUP($A8,'Página11'!$A$1:$S$27,COLUMN(),TRUE)</f>
        <v>15398.418</v>
      </c>
      <c r="Q8" s="48">
        <f>VLOOKUP($A8,'Página11'!$A$1:$S$27,COLUMN(),TRUE)</f>
        <v>0</v>
      </c>
      <c r="R8" s="48">
        <f>VLOOKUP($A8,'Página11'!$A$1:$S$27,COLUMN(),TRUE)</f>
        <v>15398.3745</v>
      </c>
      <c r="S8" s="48">
        <f>VLOOKUP($A8,'Página11'!$A$1:$S$27,COLUMN(),TRUE)</f>
        <v>0</v>
      </c>
      <c r="T8" s="73">
        <f t="shared" si="5"/>
        <v>2016</v>
      </c>
      <c r="U8" s="73">
        <f t="shared" si="6"/>
        <v>7</v>
      </c>
    </row>
    <row r="9">
      <c r="A9" s="34">
        <v>42583.0</v>
      </c>
      <c r="B9" s="48">
        <f t="shared" si="1"/>
        <v>26455.37</v>
      </c>
      <c r="C9" s="48">
        <f>ROUND(IF(MONTH($A9)=12,2.333,1)*VLOOKUP($A9,'Página11'!$A$1:$S$27,COLUMN(),TRUE),2)</f>
        <v>23755.38</v>
      </c>
      <c r="D9" s="48">
        <f t="shared" si="2"/>
        <v>22516.88</v>
      </c>
      <c r="E9" s="48">
        <f>ROUND(IF(MONTH($A9)=12,2.333,1)*VLOOKUP($A9,'Página11'!$A$1:$S$27,COLUMN(),TRUE),2)</f>
        <v>23755.38</v>
      </c>
      <c r="F9" s="48">
        <f>ROUND(IF(MONTH($A9)=12,2.333,1)*VLOOKUP($A9,'Página11'!$A$1:$S$27,COLUMN(),TRUE),2)</f>
        <v>22567.61</v>
      </c>
      <c r="G9" s="48">
        <f t="shared" si="3"/>
        <v>18155.01</v>
      </c>
      <c r="H9" s="48">
        <f>ROUND(IF(MONTH($A9)=12,2.333,1)*VLOOKUP($A9,'Página11'!$A$1:$S$27,COLUMN(),TRUE),2)</f>
        <v>16197.52</v>
      </c>
      <c r="I9" s="48">
        <f t="shared" si="4"/>
        <v>15398.37</v>
      </c>
      <c r="J9" s="48">
        <f>ROUND(IF(MONTH($A9)=12,2.333,1)*VLOOKUP($A9,'Página11'!$A$1:$S$27,COLUMN(),TRUE),2)</f>
        <v>16197.52</v>
      </c>
      <c r="K9" s="48">
        <f>ROUND(IF(MONTH($A9)=12,2.333,1)*VLOOKUP($A9,'Página11'!$A$1:$S$27,COLUMN(),TRUE),2)</f>
        <v>15431.11</v>
      </c>
      <c r="L9" s="48">
        <f>VLOOKUP($A9,'Página11'!$A$1:$S$27,COLUMN(),TRUE)</f>
        <v>23755.37</v>
      </c>
      <c r="M9" s="48">
        <f>VLOOKUP($A9,'Página11'!$A$1:$S$27,COLUMN(),TRUE)</f>
        <v>3000</v>
      </c>
      <c r="N9" s="48">
        <f>VLOOKUP($A9,'Página11'!$A$1:$S$27,COLUMN(),TRUE)</f>
        <v>22516.88</v>
      </c>
      <c r="O9" s="48">
        <f>VLOOKUP($A9,'Página11'!$A$1:$S$27,COLUMN(),TRUE)</f>
        <v>0</v>
      </c>
      <c r="P9" s="48">
        <f>VLOOKUP($A9,'Página11'!$A$1:$S$27,COLUMN(),TRUE)</f>
        <v>16197.513</v>
      </c>
      <c r="Q9" s="48">
        <f>VLOOKUP($A9,'Página11'!$A$1:$S$27,COLUMN(),TRUE)</f>
        <v>2175</v>
      </c>
      <c r="R9" s="48">
        <f>VLOOKUP($A9,'Página11'!$A$1:$S$27,COLUMN(),TRUE)</f>
        <v>15398.3745</v>
      </c>
      <c r="S9" s="48">
        <f>VLOOKUP($A9,'Página11'!$A$1:$S$27,COLUMN(),TRUE)</f>
        <v>0</v>
      </c>
      <c r="T9" s="73">
        <f t="shared" si="5"/>
        <v>2016</v>
      </c>
      <c r="U9" s="73">
        <f t="shared" si="6"/>
        <v>8</v>
      </c>
    </row>
    <row r="10">
      <c r="A10" s="34">
        <v>42614.0</v>
      </c>
      <c r="B10" s="48">
        <f t="shared" si="1"/>
        <v>26455.37</v>
      </c>
      <c r="C10" s="48">
        <f>ROUND(IF(MONTH($A10)=12,2.333,1)*VLOOKUP($A10,'Página11'!$A$1:$S$27,COLUMN(),TRUE),2)</f>
        <v>23755.38</v>
      </c>
      <c r="D10" s="48">
        <f t="shared" si="2"/>
        <v>25216.88</v>
      </c>
      <c r="E10" s="48">
        <f>ROUND(IF(MONTH($A10)=12,2.333,1)*VLOOKUP($A10,'Página11'!$A$1:$S$27,COLUMN(),TRUE),2)</f>
        <v>23755.38</v>
      </c>
      <c r="F10" s="48">
        <f>ROUND(IF(MONTH($A10)=12,2.333,1)*VLOOKUP($A10,'Página11'!$A$1:$S$27,COLUMN(),TRUE),2)</f>
        <v>22567.61</v>
      </c>
      <c r="G10" s="48">
        <f t="shared" si="3"/>
        <v>18155.01</v>
      </c>
      <c r="H10" s="48">
        <f>ROUND(IF(MONTH($A10)=12,2.333,1)*VLOOKUP($A10,'Página11'!$A$1:$S$27,COLUMN(),TRUE),2)</f>
        <v>16197.52</v>
      </c>
      <c r="I10" s="48">
        <f t="shared" si="4"/>
        <v>17355.87</v>
      </c>
      <c r="J10" s="48">
        <f>ROUND(IF(MONTH($A10)=12,2.333,1)*VLOOKUP($A10,'Página11'!$A$1:$S$27,COLUMN(),TRUE),2)</f>
        <v>16197.52</v>
      </c>
      <c r="K10" s="48">
        <f>ROUND(IF(MONTH($A10)=12,2.333,1)*VLOOKUP($A10,'Página11'!$A$1:$S$27,COLUMN(),TRUE),2)</f>
        <v>15431.11</v>
      </c>
      <c r="L10" s="48">
        <f>VLOOKUP($A10,'Página11'!$A$1:$S$27,COLUMN(),TRUE)</f>
        <v>23755.37</v>
      </c>
      <c r="M10" s="48">
        <f>VLOOKUP($A10,'Página11'!$A$1:$S$27,COLUMN(),TRUE)</f>
        <v>3000</v>
      </c>
      <c r="N10" s="48">
        <f>VLOOKUP($A10,'Página11'!$A$1:$S$27,COLUMN(),TRUE)</f>
        <v>22516.88</v>
      </c>
      <c r="O10" s="48">
        <f>VLOOKUP($A10,'Página11'!$A$1:$S$27,COLUMN(),TRUE)</f>
        <v>3000</v>
      </c>
      <c r="P10" s="48">
        <f>VLOOKUP($A10,'Página11'!$A$1:$S$27,COLUMN(),TRUE)</f>
        <v>16197.513</v>
      </c>
      <c r="Q10" s="48">
        <f>VLOOKUP($A10,'Página11'!$A$1:$S$27,COLUMN(),TRUE)</f>
        <v>2175</v>
      </c>
      <c r="R10" s="48">
        <f>VLOOKUP($A10,'Página11'!$A$1:$S$27,COLUMN(),TRUE)</f>
        <v>15398.3745</v>
      </c>
      <c r="S10" s="48">
        <f>VLOOKUP($A10,'Página11'!$A$1:$S$27,COLUMN(),TRUE)</f>
        <v>2175</v>
      </c>
      <c r="T10" s="73">
        <f t="shared" si="5"/>
        <v>2016</v>
      </c>
      <c r="U10" s="73">
        <f t="shared" si="6"/>
        <v>9</v>
      </c>
    </row>
    <row r="11">
      <c r="A11" s="34">
        <v>42644.0</v>
      </c>
      <c r="B11" s="48">
        <f t="shared" si="1"/>
        <v>26455.37</v>
      </c>
      <c r="C11" s="48">
        <f>ROUND(IF(MONTH($A11)=12,2.333,1)*VLOOKUP($A11,'Página11'!$A$1:$S$27,COLUMN(),TRUE),2)</f>
        <v>23755.38</v>
      </c>
      <c r="D11" s="48">
        <f t="shared" si="2"/>
        <v>25216.88</v>
      </c>
      <c r="E11" s="48">
        <f>ROUND(IF(MONTH($A11)=12,2.333,1)*VLOOKUP($A11,'Página11'!$A$1:$S$27,COLUMN(),TRUE),2)</f>
        <v>23755.38</v>
      </c>
      <c r="F11" s="48">
        <f>ROUND(IF(MONTH($A11)=12,2.333,1)*VLOOKUP($A11,'Página11'!$A$1:$S$27,COLUMN(),TRUE),2)</f>
        <v>22567.61</v>
      </c>
      <c r="G11" s="48">
        <f t="shared" si="3"/>
        <v>18155.01</v>
      </c>
      <c r="H11" s="48">
        <f>ROUND(IF(MONTH($A11)=12,2.333,1)*VLOOKUP($A11,'Página11'!$A$1:$S$27,COLUMN(),TRUE),2)</f>
        <v>16197.52</v>
      </c>
      <c r="I11" s="48">
        <f t="shared" si="4"/>
        <v>17355.87</v>
      </c>
      <c r="J11" s="48">
        <f>ROUND(IF(MONTH($A11)=12,2.333,1)*VLOOKUP($A11,'Página11'!$A$1:$S$27,COLUMN(),TRUE),2)</f>
        <v>16197.52</v>
      </c>
      <c r="K11" s="48">
        <f>ROUND(IF(MONTH($A11)=12,2.333,1)*VLOOKUP($A11,'Página11'!$A$1:$S$27,COLUMN(),TRUE),2)</f>
        <v>15431.11</v>
      </c>
      <c r="L11" s="48">
        <f>VLOOKUP($A11,'Página11'!$A$1:$S$27,COLUMN(),TRUE)</f>
        <v>23755.37</v>
      </c>
      <c r="M11" s="48">
        <f>VLOOKUP($A11,'Página11'!$A$1:$S$27,COLUMN(),TRUE)</f>
        <v>3000</v>
      </c>
      <c r="N11" s="48">
        <f>VLOOKUP($A11,'Página11'!$A$1:$S$27,COLUMN(),TRUE)</f>
        <v>22516.88</v>
      </c>
      <c r="O11" s="48">
        <f>VLOOKUP($A11,'Página11'!$A$1:$S$27,COLUMN(),TRUE)</f>
        <v>3000</v>
      </c>
      <c r="P11" s="48">
        <f>VLOOKUP($A11,'Página11'!$A$1:$S$27,COLUMN(),TRUE)</f>
        <v>16197.513</v>
      </c>
      <c r="Q11" s="48">
        <f>VLOOKUP($A11,'Página11'!$A$1:$S$27,COLUMN(),TRUE)</f>
        <v>2175</v>
      </c>
      <c r="R11" s="48">
        <f>VLOOKUP($A11,'Página11'!$A$1:$S$27,COLUMN(),TRUE)</f>
        <v>15398.3745</v>
      </c>
      <c r="S11" s="48">
        <f>VLOOKUP($A11,'Página11'!$A$1:$S$27,COLUMN(),TRUE)</f>
        <v>2175</v>
      </c>
      <c r="T11" s="73">
        <f t="shared" si="5"/>
        <v>2016</v>
      </c>
      <c r="U11" s="73">
        <f t="shared" si="6"/>
        <v>10</v>
      </c>
    </row>
    <row r="12">
      <c r="A12" s="34">
        <v>42675.0</v>
      </c>
      <c r="B12" s="48">
        <f t="shared" si="1"/>
        <v>26455.37</v>
      </c>
      <c r="C12" s="48">
        <f>ROUND(IF(MONTH($A12)=12,2.333,1)*VLOOKUP($A12,'Página11'!$A$1:$S$27,COLUMN(),TRUE),2)</f>
        <v>23755.38</v>
      </c>
      <c r="D12" s="48">
        <f t="shared" si="2"/>
        <v>25216.88</v>
      </c>
      <c r="E12" s="48">
        <f>ROUND(IF(MONTH($A12)=12,2.333,1)*VLOOKUP($A12,'Página11'!$A$1:$S$27,COLUMN(),TRUE),2)</f>
        <v>23755.38</v>
      </c>
      <c r="F12" s="48">
        <f>ROUND(IF(MONTH($A12)=12,2.333,1)*VLOOKUP($A12,'Página11'!$A$1:$S$27,COLUMN(),TRUE),2)</f>
        <v>22567.61</v>
      </c>
      <c r="G12" s="48">
        <f t="shared" si="3"/>
        <v>18155.01</v>
      </c>
      <c r="H12" s="48">
        <f>ROUND(IF(MONTH($A12)=12,2.333,1)*VLOOKUP($A12,'Página11'!$A$1:$S$27,COLUMN(),TRUE),2)</f>
        <v>16197.52</v>
      </c>
      <c r="I12" s="48">
        <f t="shared" si="4"/>
        <v>17355.87</v>
      </c>
      <c r="J12" s="48">
        <f>ROUND(IF(MONTH($A12)=12,2.333,1)*VLOOKUP($A12,'Página11'!$A$1:$S$27,COLUMN(),TRUE),2)</f>
        <v>16197.52</v>
      </c>
      <c r="K12" s="48">
        <f>ROUND(IF(MONTH($A12)=12,2.333,1)*VLOOKUP($A12,'Página11'!$A$1:$S$27,COLUMN(),TRUE),2)</f>
        <v>15431.11</v>
      </c>
      <c r="L12" s="48">
        <f>VLOOKUP($A12,'Página11'!$A$1:$S$27,COLUMN(),TRUE)</f>
        <v>23755.37</v>
      </c>
      <c r="M12" s="48">
        <f>VLOOKUP($A12,'Página11'!$A$1:$S$27,COLUMN(),TRUE)</f>
        <v>3000</v>
      </c>
      <c r="N12" s="48">
        <f>VLOOKUP($A12,'Página11'!$A$1:$S$27,COLUMN(),TRUE)</f>
        <v>22516.88</v>
      </c>
      <c r="O12" s="48">
        <f>VLOOKUP($A12,'Página11'!$A$1:$S$27,COLUMN(),TRUE)</f>
        <v>3000</v>
      </c>
      <c r="P12" s="48">
        <f>VLOOKUP($A12,'Página11'!$A$1:$S$27,COLUMN(),TRUE)</f>
        <v>16197.513</v>
      </c>
      <c r="Q12" s="48">
        <f>VLOOKUP($A12,'Página11'!$A$1:$S$27,COLUMN(),TRUE)</f>
        <v>2175</v>
      </c>
      <c r="R12" s="48">
        <f>VLOOKUP($A12,'Página11'!$A$1:$S$27,COLUMN(),TRUE)</f>
        <v>15398.3745</v>
      </c>
      <c r="S12" s="48">
        <f>VLOOKUP($A12,'Página11'!$A$1:$S$27,COLUMN(),TRUE)</f>
        <v>2175</v>
      </c>
      <c r="T12" s="73">
        <f t="shared" si="5"/>
        <v>2016</v>
      </c>
      <c r="U12" s="73">
        <f t="shared" si="6"/>
        <v>11</v>
      </c>
    </row>
    <row r="13">
      <c r="A13" s="34">
        <v>42705.0</v>
      </c>
      <c r="B13" s="48">
        <f t="shared" si="1"/>
        <v>61720.38</v>
      </c>
      <c r="C13" s="48">
        <f>ROUND(IF(MONTH($A13)=12,2.333,1)*VLOOKUP($A13,'Página11'!$A$1:$S$27,COLUMN(),TRUE),2)</f>
        <v>55421.3</v>
      </c>
      <c r="D13" s="48">
        <f t="shared" si="2"/>
        <v>58830.98</v>
      </c>
      <c r="E13" s="48">
        <f>ROUND(IF(MONTH($A13)=12,2.333,1)*VLOOKUP($A13,'Página11'!$A$1:$S$27,COLUMN(),TRUE),2)</f>
        <v>55421.3</v>
      </c>
      <c r="F13" s="48">
        <f>ROUND(IF(MONTH($A13)=12,2.333,1)*VLOOKUP($A13,'Página11'!$A$1:$S$27,COLUMN(),TRUE),2)</f>
        <v>52650.23</v>
      </c>
      <c r="G13" s="48">
        <f t="shared" si="3"/>
        <v>42355.65</v>
      </c>
      <c r="H13" s="48">
        <f>ROUND(IF(MONTH($A13)=12,2.333,1)*VLOOKUP($A13,'Página11'!$A$1:$S$27,COLUMN(),TRUE),2)</f>
        <v>37788.81</v>
      </c>
      <c r="I13" s="48">
        <f t="shared" si="4"/>
        <v>40491.26</v>
      </c>
      <c r="J13" s="48">
        <f>ROUND(IF(MONTH($A13)=12,2.333,1)*VLOOKUP($A13,'Página11'!$A$1:$S$27,COLUMN(),TRUE),2)</f>
        <v>37788.81</v>
      </c>
      <c r="K13" s="48">
        <f>ROUND(IF(MONTH($A13)=12,2.333,1)*VLOOKUP($A13,'Página11'!$A$1:$S$27,COLUMN(),TRUE),2)</f>
        <v>36000.78</v>
      </c>
      <c r="L13" s="48">
        <f>VLOOKUP($A13,'Página11'!$A$1:$S$27,COLUMN(),TRUE)</f>
        <v>23755.37</v>
      </c>
      <c r="M13" s="48">
        <f>VLOOKUP($A13,'Página11'!$A$1:$S$27,COLUMN(),TRUE)</f>
        <v>3000</v>
      </c>
      <c r="N13" s="48">
        <f>VLOOKUP($A13,'Página11'!$A$1:$S$27,COLUMN(),TRUE)</f>
        <v>22516.88</v>
      </c>
      <c r="O13" s="48">
        <f>VLOOKUP($A13,'Página11'!$A$1:$S$27,COLUMN(),TRUE)</f>
        <v>3000</v>
      </c>
      <c r="P13" s="48">
        <f>VLOOKUP($A13,'Página11'!$A$1:$S$27,COLUMN(),TRUE)</f>
        <v>16197.513</v>
      </c>
      <c r="Q13" s="48">
        <f>VLOOKUP($A13,'Página11'!$A$1:$S$27,COLUMN(),TRUE)</f>
        <v>2175</v>
      </c>
      <c r="R13" s="48">
        <f>VLOOKUP($A13,'Página11'!$A$1:$S$27,COLUMN(),TRUE)</f>
        <v>15398.3745</v>
      </c>
      <c r="S13" s="48">
        <f>VLOOKUP($A13,'Página11'!$A$1:$S$27,COLUMN(),TRUE)</f>
        <v>2175</v>
      </c>
      <c r="T13" s="73">
        <f t="shared" si="5"/>
        <v>2016</v>
      </c>
      <c r="U13" s="73">
        <f t="shared" si="6"/>
        <v>12</v>
      </c>
    </row>
    <row r="14">
      <c r="A14" s="34">
        <v>42736.0</v>
      </c>
      <c r="B14" s="48">
        <f t="shared" si="1"/>
        <v>28239.39</v>
      </c>
      <c r="C14" s="48">
        <f>ROUND(IF(MONTH($A14)=12,2.333,1)*VLOOKUP($A14,'Página11'!$A$1:$S$27,COLUMN(),TRUE),2)</f>
        <v>25413.33</v>
      </c>
      <c r="D14" s="48">
        <f t="shared" si="2"/>
        <v>27643.07</v>
      </c>
      <c r="E14" s="48">
        <f>ROUND(IF(MONTH($A14)=12,2.333,1)*VLOOKUP($A14,'Página11'!$A$1:$S$27,COLUMN(),TRUE),2)</f>
        <v>25413.33</v>
      </c>
      <c r="F14" s="48">
        <f>ROUND(IF(MONTH($A14)=12,2.333,1)*VLOOKUP($A14,'Página11'!$A$1:$S$27,COLUMN(),TRUE),2)</f>
        <v>24142.66</v>
      </c>
      <c r="G14" s="48">
        <f t="shared" si="3"/>
        <v>19353.7</v>
      </c>
      <c r="H14" s="48">
        <f>ROUND(IF(MONTH($A14)=12,2.333,1)*VLOOKUP($A14,'Página11'!$A$1:$S$27,COLUMN(),TRUE),2)</f>
        <v>17267.31</v>
      </c>
      <c r="I14" s="48">
        <f t="shared" si="4"/>
        <v>18921.37</v>
      </c>
      <c r="J14" s="48">
        <f>ROUND(IF(MONTH($A14)=12,2.333,1)*VLOOKUP($A14,'Página11'!$A$1:$S$27,COLUMN(),TRUE),2)</f>
        <v>17267.31</v>
      </c>
      <c r="K14" s="48">
        <f>ROUND(IF(MONTH($A14)=12,2.333,1)*VLOOKUP($A14,'Página11'!$A$1:$S$27,COLUMN(),TRUE),2)</f>
        <v>16447.41</v>
      </c>
      <c r="L14" s="48">
        <f>VLOOKUP($A14,'Página11'!$A$1:$S$27,COLUMN(),TRUE)</f>
        <v>24943.14</v>
      </c>
      <c r="M14" s="48">
        <f>VLOOKUP($A14,'Página11'!$A$1:$S$27,COLUMN(),TRUE)</f>
        <v>3662.5</v>
      </c>
      <c r="N14" s="48">
        <f>VLOOKUP($A14,'Página11'!$A$1:$S$27,COLUMN(),TRUE)</f>
        <v>24943.07</v>
      </c>
      <c r="O14" s="48">
        <f>VLOOKUP($A14,'Página11'!$A$1:$S$27,COLUMN(),TRUE)</f>
        <v>3000</v>
      </c>
      <c r="P14" s="48">
        <f>VLOOKUP($A14,'Página11'!$A$1:$S$27,COLUMN(),TRUE)</f>
        <v>16963.91775</v>
      </c>
      <c r="Q14" s="48">
        <f>VLOOKUP($A14,'Página11'!$A$1:$S$27,COLUMN(),TRUE)</f>
        <v>2655.3125</v>
      </c>
      <c r="R14" s="48">
        <f>VLOOKUP($A14,'Página11'!$A$1:$S$27,COLUMN(),TRUE)</f>
        <v>16963.87425</v>
      </c>
      <c r="S14" s="48">
        <f>VLOOKUP($A14,'Página11'!$A$1:$S$27,COLUMN(),TRUE)</f>
        <v>2175</v>
      </c>
      <c r="T14" s="73">
        <f t="shared" si="5"/>
        <v>2017</v>
      </c>
      <c r="U14" s="73">
        <f t="shared" si="6"/>
        <v>1</v>
      </c>
    </row>
    <row r="15">
      <c r="A15" s="34">
        <v>42767.0</v>
      </c>
      <c r="B15" s="48">
        <f t="shared" si="1"/>
        <v>28239.39</v>
      </c>
      <c r="C15" s="48">
        <f>ROUND(IF(MONTH($A15)=12,2.333,1)*VLOOKUP($A15,'Página11'!$A$1:$S$27,COLUMN(),TRUE),2)</f>
        <v>25413.33</v>
      </c>
      <c r="D15" s="48">
        <f t="shared" si="2"/>
        <v>27643.07</v>
      </c>
      <c r="E15" s="48">
        <f>ROUND(IF(MONTH($A15)=12,2.333,1)*VLOOKUP($A15,'Página11'!$A$1:$S$27,COLUMN(),TRUE),2)</f>
        <v>25413.33</v>
      </c>
      <c r="F15" s="48">
        <f>ROUND(IF(MONTH($A15)=12,2.333,1)*VLOOKUP($A15,'Página11'!$A$1:$S$27,COLUMN(),TRUE),2)</f>
        <v>24142.66</v>
      </c>
      <c r="G15" s="48">
        <f t="shared" si="3"/>
        <v>19353.7</v>
      </c>
      <c r="H15" s="48">
        <f>ROUND(IF(MONTH($A15)=12,2.333,1)*VLOOKUP($A15,'Página11'!$A$1:$S$27,COLUMN(),TRUE),2)</f>
        <v>17267.31</v>
      </c>
      <c r="I15" s="48">
        <f t="shared" si="4"/>
        <v>18921.37</v>
      </c>
      <c r="J15" s="48">
        <f>ROUND(IF(MONTH($A15)=12,2.333,1)*VLOOKUP($A15,'Página11'!$A$1:$S$27,COLUMN(),TRUE),2)</f>
        <v>17267.31</v>
      </c>
      <c r="K15" s="48">
        <f>ROUND(IF(MONTH($A15)=12,2.333,1)*VLOOKUP($A15,'Página11'!$A$1:$S$27,COLUMN(),TRUE),2)</f>
        <v>16447.41</v>
      </c>
      <c r="L15" s="48">
        <f>VLOOKUP($A15,'Página11'!$A$1:$S$27,COLUMN(),TRUE)</f>
        <v>24943.14</v>
      </c>
      <c r="M15" s="48">
        <f>VLOOKUP($A15,'Página11'!$A$1:$S$27,COLUMN(),TRUE)</f>
        <v>3662.5</v>
      </c>
      <c r="N15" s="48">
        <f>VLOOKUP($A15,'Página11'!$A$1:$S$27,COLUMN(),TRUE)</f>
        <v>24943.07</v>
      </c>
      <c r="O15" s="48">
        <f>VLOOKUP($A15,'Página11'!$A$1:$S$27,COLUMN(),TRUE)</f>
        <v>3000</v>
      </c>
      <c r="P15" s="48">
        <f>VLOOKUP($A15,'Página11'!$A$1:$S$27,COLUMN(),TRUE)</f>
        <v>16963.91775</v>
      </c>
      <c r="Q15" s="48">
        <f>VLOOKUP($A15,'Página11'!$A$1:$S$27,COLUMN(),TRUE)</f>
        <v>2655.3125</v>
      </c>
      <c r="R15" s="48">
        <f>VLOOKUP($A15,'Página11'!$A$1:$S$27,COLUMN(),TRUE)</f>
        <v>16963.87425</v>
      </c>
      <c r="S15" s="48">
        <f>VLOOKUP($A15,'Página11'!$A$1:$S$27,COLUMN(),TRUE)</f>
        <v>2175</v>
      </c>
      <c r="T15" s="73">
        <f t="shared" si="5"/>
        <v>2017</v>
      </c>
      <c r="U15" s="73">
        <f t="shared" si="6"/>
        <v>2</v>
      </c>
    </row>
    <row r="16">
      <c r="A16" s="34">
        <v>42795.0</v>
      </c>
      <c r="B16" s="48">
        <f t="shared" si="1"/>
        <v>28239.39</v>
      </c>
      <c r="C16" s="48">
        <f>ROUND(IF(MONTH($A16)=12,2.333,1)*VLOOKUP($A16,'Página11'!$A$1:$S$27,COLUMN(),TRUE),2)</f>
        <v>25413.33</v>
      </c>
      <c r="D16" s="48">
        <f t="shared" si="2"/>
        <v>27643.07</v>
      </c>
      <c r="E16" s="48">
        <f>ROUND(IF(MONTH($A16)=12,2.333,1)*VLOOKUP($A16,'Página11'!$A$1:$S$27,COLUMN(),TRUE),2)</f>
        <v>25413.33</v>
      </c>
      <c r="F16" s="48">
        <f>ROUND(IF(MONTH($A16)=12,2.333,1)*VLOOKUP($A16,'Página11'!$A$1:$S$27,COLUMN(),TRUE),2)</f>
        <v>24142.66</v>
      </c>
      <c r="G16" s="48">
        <f t="shared" si="3"/>
        <v>19353.7</v>
      </c>
      <c r="H16" s="48">
        <f>ROUND(IF(MONTH($A16)=12,2.333,1)*VLOOKUP($A16,'Página11'!$A$1:$S$27,COLUMN(),TRUE),2)</f>
        <v>17267.31</v>
      </c>
      <c r="I16" s="48">
        <f t="shared" si="4"/>
        <v>18921.37</v>
      </c>
      <c r="J16" s="48">
        <f>ROUND(IF(MONTH($A16)=12,2.333,1)*VLOOKUP($A16,'Página11'!$A$1:$S$27,COLUMN(),TRUE),2)</f>
        <v>17267.31</v>
      </c>
      <c r="K16" s="48">
        <f>ROUND(IF(MONTH($A16)=12,2.333,1)*VLOOKUP($A16,'Página11'!$A$1:$S$27,COLUMN(),TRUE),2)</f>
        <v>16447.41</v>
      </c>
      <c r="L16" s="48">
        <f>VLOOKUP($A16,'Página11'!$A$1:$S$27,COLUMN(),TRUE)</f>
        <v>24943.14</v>
      </c>
      <c r="M16" s="48">
        <f>VLOOKUP($A16,'Página11'!$A$1:$S$27,COLUMN(),TRUE)</f>
        <v>3662.5</v>
      </c>
      <c r="N16" s="48">
        <f>VLOOKUP($A16,'Página11'!$A$1:$S$27,COLUMN(),TRUE)</f>
        <v>24943.07</v>
      </c>
      <c r="O16" s="48">
        <f>VLOOKUP($A16,'Página11'!$A$1:$S$27,COLUMN(),TRUE)</f>
        <v>3000</v>
      </c>
      <c r="P16" s="48">
        <f>VLOOKUP($A16,'Página11'!$A$1:$S$27,COLUMN(),TRUE)</f>
        <v>16963.91775</v>
      </c>
      <c r="Q16" s="48">
        <f>VLOOKUP($A16,'Página11'!$A$1:$S$27,COLUMN(),TRUE)</f>
        <v>2655.3125</v>
      </c>
      <c r="R16" s="48">
        <f>VLOOKUP($A16,'Página11'!$A$1:$S$27,COLUMN(),TRUE)</f>
        <v>16963.87425</v>
      </c>
      <c r="S16" s="48">
        <f>VLOOKUP($A16,'Página11'!$A$1:$S$27,COLUMN(),TRUE)</f>
        <v>2175</v>
      </c>
      <c r="T16" s="73">
        <f t="shared" si="5"/>
        <v>2017</v>
      </c>
      <c r="U16" s="73">
        <f t="shared" si="6"/>
        <v>3</v>
      </c>
    </row>
    <row r="17">
      <c r="A17" s="34">
        <v>42826.0</v>
      </c>
      <c r="B17" s="48">
        <f t="shared" si="1"/>
        <v>28239.39</v>
      </c>
      <c r="C17" s="48">
        <f>ROUND(IF(MONTH($A17)=12,2.333,1)*VLOOKUP($A17,'Página11'!$A$1:$S$27,COLUMN(),TRUE),2)</f>
        <v>25413.33</v>
      </c>
      <c r="D17" s="48">
        <f t="shared" si="2"/>
        <v>27643.07</v>
      </c>
      <c r="E17" s="48">
        <f>ROUND(IF(MONTH($A17)=12,2.333,1)*VLOOKUP($A17,'Página11'!$A$1:$S$27,COLUMN(),TRUE),2)</f>
        <v>25413.33</v>
      </c>
      <c r="F17" s="48">
        <f>ROUND(IF(MONTH($A17)=12,2.333,1)*VLOOKUP($A17,'Página11'!$A$1:$S$27,COLUMN(),TRUE),2)</f>
        <v>24142.66</v>
      </c>
      <c r="G17" s="48">
        <f t="shared" si="3"/>
        <v>19353.7</v>
      </c>
      <c r="H17" s="48">
        <f>ROUND(IF(MONTH($A17)=12,2.333,1)*VLOOKUP($A17,'Página11'!$A$1:$S$27,COLUMN(),TRUE),2)</f>
        <v>17267.31</v>
      </c>
      <c r="I17" s="48">
        <f t="shared" si="4"/>
        <v>18921.37</v>
      </c>
      <c r="J17" s="48">
        <f>ROUND(IF(MONTH($A17)=12,2.333,1)*VLOOKUP($A17,'Página11'!$A$1:$S$27,COLUMN(),TRUE),2)</f>
        <v>17267.31</v>
      </c>
      <c r="K17" s="48">
        <f>ROUND(IF(MONTH($A17)=12,2.333,1)*VLOOKUP($A17,'Página11'!$A$1:$S$27,COLUMN(),TRUE),2)</f>
        <v>16447.41</v>
      </c>
      <c r="L17" s="48">
        <f>VLOOKUP($A17,'Página11'!$A$1:$S$27,COLUMN(),TRUE)</f>
        <v>24943.14</v>
      </c>
      <c r="M17" s="48">
        <f>VLOOKUP($A17,'Página11'!$A$1:$S$27,COLUMN(),TRUE)</f>
        <v>3662.5</v>
      </c>
      <c r="N17" s="48">
        <f>VLOOKUP($A17,'Página11'!$A$1:$S$27,COLUMN(),TRUE)</f>
        <v>24943.07</v>
      </c>
      <c r="O17" s="48">
        <f>VLOOKUP($A17,'Página11'!$A$1:$S$27,COLUMN(),TRUE)</f>
        <v>3000</v>
      </c>
      <c r="P17" s="48">
        <f>VLOOKUP($A17,'Página11'!$A$1:$S$27,COLUMN(),TRUE)</f>
        <v>16963.91775</v>
      </c>
      <c r="Q17" s="48">
        <f>VLOOKUP($A17,'Página11'!$A$1:$S$27,COLUMN(),TRUE)</f>
        <v>2655.3125</v>
      </c>
      <c r="R17" s="48">
        <f>VLOOKUP($A17,'Página11'!$A$1:$S$27,COLUMN(),TRUE)</f>
        <v>16963.87425</v>
      </c>
      <c r="S17" s="48">
        <f>VLOOKUP($A17,'Página11'!$A$1:$S$27,COLUMN(),TRUE)</f>
        <v>2175</v>
      </c>
      <c r="T17" s="73">
        <f t="shared" si="5"/>
        <v>2017</v>
      </c>
      <c r="U17" s="73">
        <f t="shared" si="6"/>
        <v>4</v>
      </c>
    </row>
    <row r="18">
      <c r="A18" s="34">
        <v>42856.0</v>
      </c>
      <c r="B18" s="48">
        <f t="shared" si="1"/>
        <v>28239.39</v>
      </c>
      <c r="C18" s="48">
        <f>ROUND(IF(MONTH($A18)=12,2.333,1)*VLOOKUP($A18,'Página11'!$A$1:$S$27,COLUMN(),TRUE),2)</f>
        <v>25413.33</v>
      </c>
      <c r="D18" s="48">
        <f t="shared" si="2"/>
        <v>27643.07</v>
      </c>
      <c r="E18" s="48">
        <f>ROUND(IF(MONTH($A18)=12,2.333,1)*VLOOKUP($A18,'Página11'!$A$1:$S$27,COLUMN(),TRUE),2)</f>
        <v>25413.33</v>
      </c>
      <c r="F18" s="48">
        <f>ROUND(IF(MONTH($A18)=12,2.333,1)*VLOOKUP($A18,'Página11'!$A$1:$S$27,COLUMN(),TRUE),2)</f>
        <v>24142.66</v>
      </c>
      <c r="G18" s="48">
        <f t="shared" si="3"/>
        <v>19353.7</v>
      </c>
      <c r="H18" s="48">
        <f>ROUND(IF(MONTH($A18)=12,2.333,1)*VLOOKUP($A18,'Página11'!$A$1:$S$27,COLUMN(),TRUE),2)</f>
        <v>17267.31</v>
      </c>
      <c r="I18" s="48">
        <f t="shared" si="4"/>
        <v>18921.37</v>
      </c>
      <c r="J18" s="48">
        <f>ROUND(IF(MONTH($A18)=12,2.333,1)*VLOOKUP($A18,'Página11'!$A$1:$S$27,COLUMN(),TRUE),2)</f>
        <v>17267.31</v>
      </c>
      <c r="K18" s="48">
        <f>ROUND(IF(MONTH($A18)=12,2.333,1)*VLOOKUP($A18,'Página11'!$A$1:$S$27,COLUMN(),TRUE),2)</f>
        <v>16447.41</v>
      </c>
      <c r="L18" s="48">
        <f>VLOOKUP($A18,'Página11'!$A$1:$S$27,COLUMN(),TRUE)</f>
        <v>24943.14</v>
      </c>
      <c r="M18" s="48">
        <f>VLOOKUP($A18,'Página11'!$A$1:$S$27,COLUMN(),TRUE)</f>
        <v>3662.5</v>
      </c>
      <c r="N18" s="48">
        <f>VLOOKUP($A18,'Página11'!$A$1:$S$27,COLUMN(),TRUE)</f>
        <v>24943.07</v>
      </c>
      <c r="O18" s="48">
        <f>VLOOKUP($A18,'Página11'!$A$1:$S$27,COLUMN(),TRUE)</f>
        <v>3000</v>
      </c>
      <c r="P18" s="48">
        <f>VLOOKUP($A18,'Página11'!$A$1:$S$27,COLUMN(),TRUE)</f>
        <v>16963.91775</v>
      </c>
      <c r="Q18" s="48">
        <f>VLOOKUP($A18,'Página11'!$A$1:$S$27,COLUMN(),TRUE)</f>
        <v>2655.3125</v>
      </c>
      <c r="R18" s="48">
        <f>VLOOKUP($A18,'Página11'!$A$1:$S$27,COLUMN(),TRUE)</f>
        <v>16963.87425</v>
      </c>
      <c r="S18" s="48">
        <f>VLOOKUP($A18,'Página11'!$A$1:$S$27,COLUMN(),TRUE)</f>
        <v>2175</v>
      </c>
      <c r="T18" s="73">
        <f t="shared" si="5"/>
        <v>2017</v>
      </c>
      <c r="U18" s="73">
        <f t="shared" si="6"/>
        <v>5</v>
      </c>
    </row>
    <row r="19">
      <c r="A19" s="34">
        <v>42887.0</v>
      </c>
      <c r="B19" s="48">
        <f t="shared" si="1"/>
        <v>28239.39</v>
      </c>
      <c r="C19" s="48">
        <f>ROUND(IF(MONTH($A19)=12,2.333,1)*VLOOKUP($A19,'Página11'!$A$1:$S$27,COLUMN(),TRUE),2)</f>
        <v>25413.33</v>
      </c>
      <c r="D19" s="48">
        <f t="shared" si="2"/>
        <v>27643.07</v>
      </c>
      <c r="E19" s="48">
        <f>ROUND(IF(MONTH($A19)=12,2.333,1)*VLOOKUP($A19,'Página11'!$A$1:$S$27,COLUMN(),TRUE),2)</f>
        <v>25413.33</v>
      </c>
      <c r="F19" s="48">
        <f>ROUND(IF(MONTH($A19)=12,2.333,1)*VLOOKUP($A19,'Página11'!$A$1:$S$27,COLUMN(),TRUE),2)</f>
        <v>24142.66</v>
      </c>
      <c r="G19" s="48">
        <f t="shared" si="3"/>
        <v>19353.7</v>
      </c>
      <c r="H19" s="48">
        <f>ROUND(IF(MONTH($A19)=12,2.333,1)*VLOOKUP($A19,'Página11'!$A$1:$S$27,COLUMN(),TRUE),2)</f>
        <v>17267.31</v>
      </c>
      <c r="I19" s="48">
        <f t="shared" si="4"/>
        <v>18921.37</v>
      </c>
      <c r="J19" s="48">
        <f>ROUND(IF(MONTH($A19)=12,2.333,1)*VLOOKUP($A19,'Página11'!$A$1:$S$27,COLUMN(),TRUE),2)</f>
        <v>17267.31</v>
      </c>
      <c r="K19" s="48">
        <f>ROUND(IF(MONTH($A19)=12,2.333,1)*VLOOKUP($A19,'Página11'!$A$1:$S$27,COLUMN(),TRUE),2)</f>
        <v>16447.41</v>
      </c>
      <c r="L19" s="48">
        <f>VLOOKUP($A19,'Página11'!$A$1:$S$27,COLUMN(),TRUE)</f>
        <v>24943.14</v>
      </c>
      <c r="M19" s="48">
        <f>VLOOKUP($A19,'Página11'!$A$1:$S$27,COLUMN(),TRUE)</f>
        <v>3662.5</v>
      </c>
      <c r="N19" s="48">
        <f>VLOOKUP($A19,'Página11'!$A$1:$S$27,COLUMN(),TRUE)</f>
        <v>24943.07</v>
      </c>
      <c r="O19" s="48">
        <f>VLOOKUP($A19,'Página11'!$A$1:$S$27,COLUMN(),TRUE)</f>
        <v>3000</v>
      </c>
      <c r="P19" s="48">
        <f>VLOOKUP($A19,'Página11'!$A$1:$S$27,COLUMN(),TRUE)</f>
        <v>16963.91775</v>
      </c>
      <c r="Q19" s="48">
        <f>VLOOKUP($A19,'Página11'!$A$1:$S$27,COLUMN(),TRUE)</f>
        <v>2655.3125</v>
      </c>
      <c r="R19" s="48">
        <f>VLOOKUP($A19,'Página11'!$A$1:$S$27,COLUMN(),TRUE)</f>
        <v>16963.87425</v>
      </c>
      <c r="S19" s="48">
        <f>VLOOKUP($A19,'Página11'!$A$1:$S$27,COLUMN(),TRUE)</f>
        <v>2175</v>
      </c>
      <c r="T19" s="73">
        <f t="shared" si="5"/>
        <v>2017</v>
      </c>
      <c r="U19" s="73">
        <f t="shared" si="6"/>
        <v>6</v>
      </c>
    </row>
    <row r="20">
      <c r="A20" s="34">
        <v>42917.0</v>
      </c>
      <c r="B20" s="48">
        <f t="shared" si="1"/>
        <v>28239.39</v>
      </c>
      <c r="C20" s="48">
        <f>ROUND(IF(MONTH($A20)=12,2.333,1)*VLOOKUP($A20,'Página11'!$A$1:$S$27,COLUMN(),TRUE),2)</f>
        <v>25413.33</v>
      </c>
      <c r="D20" s="48">
        <f t="shared" si="2"/>
        <v>27643.07</v>
      </c>
      <c r="E20" s="48">
        <f>ROUND(IF(MONTH($A20)=12,2.333,1)*VLOOKUP($A20,'Página11'!$A$1:$S$27,COLUMN(),TRUE),2)</f>
        <v>25413.33</v>
      </c>
      <c r="F20" s="48">
        <f>ROUND(IF(MONTH($A20)=12,2.333,1)*VLOOKUP($A20,'Página11'!$A$1:$S$27,COLUMN(),TRUE),2)</f>
        <v>24142.66</v>
      </c>
      <c r="G20" s="48">
        <f t="shared" si="3"/>
        <v>19353.7</v>
      </c>
      <c r="H20" s="48">
        <f>ROUND(IF(MONTH($A20)=12,2.333,1)*VLOOKUP($A20,'Página11'!$A$1:$S$27,COLUMN(),TRUE),2)</f>
        <v>17267.31</v>
      </c>
      <c r="I20" s="48">
        <f t="shared" si="4"/>
        <v>18921.37</v>
      </c>
      <c r="J20" s="48">
        <f>ROUND(IF(MONTH($A20)=12,2.333,1)*VLOOKUP($A20,'Página11'!$A$1:$S$27,COLUMN(),TRUE),2)</f>
        <v>17267.31</v>
      </c>
      <c r="K20" s="48">
        <f>ROUND(IF(MONTH($A20)=12,2.333,1)*VLOOKUP($A20,'Página11'!$A$1:$S$27,COLUMN(),TRUE),2)</f>
        <v>16447.41</v>
      </c>
      <c r="L20" s="48">
        <f>VLOOKUP($A20,'Página11'!$A$1:$S$27,COLUMN(),TRUE)</f>
        <v>24943.14</v>
      </c>
      <c r="M20" s="48">
        <f>VLOOKUP($A20,'Página11'!$A$1:$S$27,COLUMN(),TRUE)</f>
        <v>3662.5</v>
      </c>
      <c r="N20" s="48">
        <f>VLOOKUP($A20,'Página11'!$A$1:$S$27,COLUMN(),TRUE)</f>
        <v>24943.07</v>
      </c>
      <c r="O20" s="48">
        <f>VLOOKUP($A20,'Página11'!$A$1:$S$27,COLUMN(),TRUE)</f>
        <v>3000</v>
      </c>
      <c r="P20" s="48">
        <f>VLOOKUP($A20,'Página11'!$A$1:$S$27,COLUMN(),TRUE)</f>
        <v>16963.91775</v>
      </c>
      <c r="Q20" s="48">
        <f>VLOOKUP($A20,'Página11'!$A$1:$S$27,COLUMN(),TRUE)</f>
        <v>2655.3125</v>
      </c>
      <c r="R20" s="48">
        <f>VLOOKUP($A20,'Página11'!$A$1:$S$27,COLUMN(),TRUE)</f>
        <v>16963.87425</v>
      </c>
      <c r="S20" s="48">
        <f>VLOOKUP($A20,'Página11'!$A$1:$S$27,COLUMN(),TRUE)</f>
        <v>2175</v>
      </c>
      <c r="T20" s="73">
        <f t="shared" si="5"/>
        <v>2017</v>
      </c>
      <c r="U20" s="73">
        <f t="shared" si="6"/>
        <v>7</v>
      </c>
    </row>
    <row r="21">
      <c r="A21" s="34">
        <v>42948.0</v>
      </c>
      <c r="B21" s="48">
        <f t="shared" si="1"/>
        <v>28239.39</v>
      </c>
      <c r="C21" s="48">
        <f>ROUND(IF(MONTH($A21)=12,2.333,1)*VLOOKUP($A21,'Página11'!$A$1:$S$27,COLUMN(),TRUE),2)</f>
        <v>25413.33</v>
      </c>
      <c r="D21" s="48">
        <f t="shared" si="2"/>
        <v>27643.07</v>
      </c>
      <c r="E21" s="48">
        <f>ROUND(IF(MONTH($A21)=12,2.333,1)*VLOOKUP($A21,'Página11'!$A$1:$S$27,COLUMN(),TRUE),2)</f>
        <v>25413.33</v>
      </c>
      <c r="F21" s="48">
        <f>ROUND(IF(MONTH($A21)=12,2.333,1)*VLOOKUP($A21,'Página11'!$A$1:$S$27,COLUMN(),TRUE),2)</f>
        <v>24142.66</v>
      </c>
      <c r="G21" s="48">
        <f t="shared" si="3"/>
        <v>19353.7</v>
      </c>
      <c r="H21" s="48">
        <f>ROUND(IF(MONTH($A21)=12,2.333,1)*VLOOKUP($A21,'Página11'!$A$1:$S$27,COLUMN(),TRUE),2)</f>
        <v>17267.31</v>
      </c>
      <c r="I21" s="48">
        <f t="shared" si="4"/>
        <v>18921.37</v>
      </c>
      <c r="J21" s="48">
        <f>ROUND(IF(MONTH($A21)=12,2.333,1)*VLOOKUP($A21,'Página11'!$A$1:$S$27,COLUMN(),TRUE),2)</f>
        <v>17267.31</v>
      </c>
      <c r="K21" s="48">
        <f>ROUND(IF(MONTH($A21)=12,2.333,1)*VLOOKUP($A21,'Página11'!$A$1:$S$27,COLUMN(),TRUE),2)</f>
        <v>16447.41</v>
      </c>
      <c r="L21" s="48">
        <f>VLOOKUP($A21,'Página11'!$A$1:$S$27,COLUMN(),TRUE)</f>
        <v>24943.14</v>
      </c>
      <c r="M21" s="48">
        <f>VLOOKUP($A21,'Página11'!$A$1:$S$27,COLUMN(),TRUE)</f>
        <v>3662.5</v>
      </c>
      <c r="N21" s="48">
        <f>VLOOKUP($A21,'Página11'!$A$1:$S$27,COLUMN(),TRUE)</f>
        <v>24943.07</v>
      </c>
      <c r="O21" s="48">
        <f>VLOOKUP($A21,'Página11'!$A$1:$S$27,COLUMN(),TRUE)</f>
        <v>3000</v>
      </c>
      <c r="P21" s="48">
        <f>VLOOKUP($A21,'Página11'!$A$1:$S$27,COLUMN(),TRUE)</f>
        <v>16963.91775</v>
      </c>
      <c r="Q21" s="48">
        <f>VLOOKUP($A21,'Página11'!$A$1:$S$27,COLUMN(),TRUE)</f>
        <v>2655.3125</v>
      </c>
      <c r="R21" s="48">
        <f>VLOOKUP($A21,'Página11'!$A$1:$S$27,COLUMN(),TRUE)</f>
        <v>16963.87425</v>
      </c>
      <c r="S21" s="48">
        <f>VLOOKUP($A21,'Página11'!$A$1:$S$27,COLUMN(),TRUE)</f>
        <v>2175</v>
      </c>
      <c r="T21" s="73">
        <f t="shared" si="5"/>
        <v>2017</v>
      </c>
      <c r="U21" s="73">
        <f t="shared" si="6"/>
        <v>8</v>
      </c>
    </row>
    <row r="22">
      <c r="A22" s="34">
        <v>42979.0</v>
      </c>
      <c r="B22" s="48">
        <f t="shared" si="1"/>
        <v>28239.39</v>
      </c>
      <c r="C22" s="48">
        <f>ROUND(IF(MONTH($A22)=12,2.333,1)*VLOOKUP($A22,'Página11'!$A$1:$S$27,COLUMN(),TRUE),2)</f>
        <v>25413.33</v>
      </c>
      <c r="D22" s="48">
        <f t="shared" si="2"/>
        <v>27643.07</v>
      </c>
      <c r="E22" s="48">
        <f>ROUND(IF(MONTH($A22)=12,2.333,1)*VLOOKUP($A22,'Página11'!$A$1:$S$27,COLUMN(),TRUE),2)</f>
        <v>25413.33</v>
      </c>
      <c r="F22" s="48">
        <f>ROUND(IF(MONTH($A22)=12,2.333,1)*VLOOKUP($A22,'Página11'!$A$1:$S$27,COLUMN(),TRUE),2)</f>
        <v>24142.66</v>
      </c>
      <c r="G22" s="48">
        <f t="shared" si="3"/>
        <v>19353.7</v>
      </c>
      <c r="H22" s="48">
        <f>ROUND(IF(MONTH($A22)=12,2.333,1)*VLOOKUP($A22,'Página11'!$A$1:$S$27,COLUMN(),TRUE),2)</f>
        <v>17267.31</v>
      </c>
      <c r="I22" s="48">
        <f t="shared" si="4"/>
        <v>18921.37</v>
      </c>
      <c r="J22" s="48">
        <f>ROUND(IF(MONTH($A22)=12,2.333,1)*VLOOKUP($A22,'Página11'!$A$1:$S$27,COLUMN(),TRUE),2)</f>
        <v>17267.31</v>
      </c>
      <c r="K22" s="48">
        <f>ROUND(IF(MONTH($A22)=12,2.333,1)*VLOOKUP($A22,'Página11'!$A$1:$S$27,COLUMN(),TRUE),2)</f>
        <v>16447.41</v>
      </c>
      <c r="L22" s="48">
        <f>VLOOKUP($A22,'Página11'!$A$1:$S$27,COLUMN(),TRUE)</f>
        <v>24943.14</v>
      </c>
      <c r="M22" s="48">
        <f>VLOOKUP($A22,'Página11'!$A$1:$S$27,COLUMN(),TRUE)</f>
        <v>3662.5</v>
      </c>
      <c r="N22" s="48">
        <f>VLOOKUP($A22,'Página11'!$A$1:$S$27,COLUMN(),TRUE)</f>
        <v>24943.07</v>
      </c>
      <c r="O22" s="48">
        <f>VLOOKUP($A22,'Página11'!$A$1:$S$27,COLUMN(),TRUE)</f>
        <v>3000</v>
      </c>
      <c r="P22" s="48">
        <f>VLOOKUP($A22,'Página11'!$A$1:$S$27,COLUMN(),TRUE)</f>
        <v>16963.91775</v>
      </c>
      <c r="Q22" s="48">
        <f>VLOOKUP($A22,'Página11'!$A$1:$S$27,COLUMN(),TRUE)</f>
        <v>2655.3125</v>
      </c>
      <c r="R22" s="48">
        <f>VLOOKUP($A22,'Página11'!$A$1:$S$27,COLUMN(),TRUE)</f>
        <v>16963.87425</v>
      </c>
      <c r="S22" s="48">
        <f>VLOOKUP($A22,'Página11'!$A$1:$S$27,COLUMN(),TRUE)</f>
        <v>2175</v>
      </c>
      <c r="T22" s="73">
        <f t="shared" si="5"/>
        <v>2017</v>
      </c>
      <c r="U22" s="73">
        <f t="shared" si="6"/>
        <v>9</v>
      </c>
    </row>
    <row r="23">
      <c r="A23" s="34">
        <v>43009.0</v>
      </c>
      <c r="B23" s="48">
        <f t="shared" si="1"/>
        <v>28239.39</v>
      </c>
      <c r="C23" s="48">
        <f>ROUND(IF(MONTH($A23)=12,2.333,1)*VLOOKUP($A23,'Página11'!$A$1:$S$27,COLUMN(),TRUE),2)</f>
        <v>25413.33</v>
      </c>
      <c r="D23" s="48">
        <f t="shared" si="2"/>
        <v>27643.07</v>
      </c>
      <c r="E23" s="48">
        <f>ROUND(IF(MONTH($A23)=12,2.333,1)*VLOOKUP($A23,'Página11'!$A$1:$S$27,COLUMN(),TRUE),2)</f>
        <v>25413.33</v>
      </c>
      <c r="F23" s="48">
        <f>ROUND(IF(MONTH($A23)=12,2.333,1)*VLOOKUP($A23,'Página11'!$A$1:$S$27,COLUMN(),TRUE),2)</f>
        <v>24142.66</v>
      </c>
      <c r="G23" s="48">
        <f t="shared" si="3"/>
        <v>19353.7</v>
      </c>
      <c r="H23" s="48">
        <f>ROUND(IF(MONTH($A23)=12,2.333,1)*VLOOKUP($A23,'Página11'!$A$1:$S$27,COLUMN(),TRUE),2)</f>
        <v>17267.31</v>
      </c>
      <c r="I23" s="48">
        <f t="shared" si="4"/>
        <v>18921.37</v>
      </c>
      <c r="J23" s="48">
        <f>ROUND(IF(MONTH($A23)=12,2.333,1)*VLOOKUP($A23,'Página11'!$A$1:$S$27,COLUMN(),TRUE),2)</f>
        <v>17267.31</v>
      </c>
      <c r="K23" s="48">
        <f>ROUND(IF(MONTH($A23)=12,2.333,1)*VLOOKUP($A23,'Página11'!$A$1:$S$27,COLUMN(),TRUE),2)</f>
        <v>16447.41</v>
      </c>
      <c r="L23" s="48">
        <f>VLOOKUP($A23,'Página11'!$A$1:$S$27,COLUMN(),TRUE)</f>
        <v>24943.14</v>
      </c>
      <c r="M23" s="48">
        <f>VLOOKUP($A23,'Página11'!$A$1:$S$27,COLUMN(),TRUE)</f>
        <v>3662.5</v>
      </c>
      <c r="N23" s="48">
        <f>VLOOKUP($A23,'Página11'!$A$1:$S$27,COLUMN(),TRUE)</f>
        <v>24943.07</v>
      </c>
      <c r="O23" s="48">
        <f>VLOOKUP($A23,'Página11'!$A$1:$S$27,COLUMN(),TRUE)</f>
        <v>3000</v>
      </c>
      <c r="P23" s="48">
        <f>VLOOKUP($A23,'Página11'!$A$1:$S$27,COLUMN(),TRUE)</f>
        <v>16963.91775</v>
      </c>
      <c r="Q23" s="48">
        <f>VLOOKUP($A23,'Página11'!$A$1:$S$27,COLUMN(),TRUE)</f>
        <v>2655.3125</v>
      </c>
      <c r="R23" s="48">
        <f>VLOOKUP($A23,'Página11'!$A$1:$S$27,COLUMN(),TRUE)</f>
        <v>16963.87425</v>
      </c>
      <c r="S23" s="48">
        <f>VLOOKUP($A23,'Página11'!$A$1:$S$27,COLUMN(),TRUE)</f>
        <v>2175</v>
      </c>
      <c r="T23" s="73">
        <f t="shared" si="5"/>
        <v>2017</v>
      </c>
      <c r="U23" s="73">
        <f t="shared" si="6"/>
        <v>10</v>
      </c>
    </row>
    <row r="24">
      <c r="A24" s="34">
        <v>43040.0</v>
      </c>
      <c r="B24" s="48">
        <f t="shared" si="1"/>
        <v>28239.39</v>
      </c>
      <c r="C24" s="48">
        <f>ROUND(IF(MONTH($A24)=12,2.333,1)*VLOOKUP($A24,'Página11'!$A$1:$S$27,COLUMN(),TRUE),2)</f>
        <v>25413.33</v>
      </c>
      <c r="D24" s="48">
        <f t="shared" si="2"/>
        <v>27643.07</v>
      </c>
      <c r="E24" s="48">
        <f>ROUND(IF(MONTH($A24)=12,2.333,1)*VLOOKUP($A24,'Página11'!$A$1:$S$27,COLUMN(),TRUE),2)</f>
        <v>25413.33</v>
      </c>
      <c r="F24" s="48">
        <f>ROUND(IF(MONTH($A24)=12,2.333,1)*VLOOKUP($A24,'Página11'!$A$1:$S$27,COLUMN(),TRUE),2)</f>
        <v>24142.66</v>
      </c>
      <c r="G24" s="48">
        <f t="shared" si="3"/>
        <v>19353.7</v>
      </c>
      <c r="H24" s="48">
        <f>ROUND(IF(MONTH($A24)=12,2.333,1)*VLOOKUP($A24,'Página11'!$A$1:$S$27,COLUMN(),TRUE),2)</f>
        <v>17267.31</v>
      </c>
      <c r="I24" s="48">
        <f t="shared" si="4"/>
        <v>18921.37</v>
      </c>
      <c r="J24" s="48">
        <f>ROUND(IF(MONTH($A24)=12,2.333,1)*VLOOKUP($A24,'Página11'!$A$1:$S$27,COLUMN(),TRUE),2)</f>
        <v>17267.31</v>
      </c>
      <c r="K24" s="48">
        <f>ROUND(IF(MONTH($A24)=12,2.333,1)*VLOOKUP($A24,'Página11'!$A$1:$S$27,COLUMN(),TRUE),2)</f>
        <v>16447.41</v>
      </c>
      <c r="L24" s="48">
        <f>VLOOKUP($A24,'Página11'!$A$1:$S$27,COLUMN(),TRUE)</f>
        <v>24943.14</v>
      </c>
      <c r="M24" s="48">
        <f>VLOOKUP($A24,'Página11'!$A$1:$S$27,COLUMN(),TRUE)</f>
        <v>3662.5</v>
      </c>
      <c r="N24" s="48">
        <f>VLOOKUP($A24,'Página11'!$A$1:$S$27,COLUMN(),TRUE)</f>
        <v>24943.07</v>
      </c>
      <c r="O24" s="48">
        <f>VLOOKUP($A24,'Página11'!$A$1:$S$27,COLUMN(),TRUE)</f>
        <v>3000</v>
      </c>
      <c r="P24" s="48">
        <f>VLOOKUP($A24,'Página11'!$A$1:$S$27,COLUMN(),TRUE)</f>
        <v>16963.91775</v>
      </c>
      <c r="Q24" s="48">
        <f>VLOOKUP($A24,'Página11'!$A$1:$S$27,COLUMN(),TRUE)</f>
        <v>2655.3125</v>
      </c>
      <c r="R24" s="48">
        <f>VLOOKUP($A24,'Página11'!$A$1:$S$27,COLUMN(),TRUE)</f>
        <v>16963.87425</v>
      </c>
      <c r="S24" s="48">
        <f>VLOOKUP($A24,'Página11'!$A$1:$S$27,COLUMN(),TRUE)</f>
        <v>2175</v>
      </c>
      <c r="T24" s="73">
        <f t="shared" si="5"/>
        <v>2017</v>
      </c>
      <c r="U24" s="73">
        <f t="shared" si="6"/>
        <v>11</v>
      </c>
    </row>
    <row r="25">
      <c r="A25" s="34">
        <v>43070.0</v>
      </c>
      <c r="B25" s="48">
        <f t="shared" si="1"/>
        <v>65882.5</v>
      </c>
      <c r="C25" s="48">
        <f>ROUND(IF(MONTH($A25)=12,2.333,1)*VLOOKUP($A25,'Página11'!$A$1:$S$27,COLUMN(),TRUE),2)</f>
        <v>59289.29</v>
      </c>
      <c r="D25" s="48">
        <f t="shared" si="2"/>
        <v>64491.28</v>
      </c>
      <c r="E25" s="48">
        <f>ROUND(IF(MONTH($A25)=12,2.333,1)*VLOOKUP($A25,'Página11'!$A$1:$S$27,COLUMN(),TRUE),2)</f>
        <v>59289.29</v>
      </c>
      <c r="F25" s="48">
        <f>ROUND(IF(MONTH($A25)=12,2.333,1)*VLOOKUP($A25,'Página11'!$A$1:$S$27,COLUMN(),TRUE),2)</f>
        <v>56324.83</v>
      </c>
      <c r="G25" s="48">
        <f t="shared" si="3"/>
        <v>45152.18</v>
      </c>
      <c r="H25" s="48">
        <f>ROUND(IF(MONTH($A25)=12,2.333,1)*VLOOKUP($A25,'Página11'!$A$1:$S$27,COLUMN(),TRUE),2)</f>
        <v>40284.62</v>
      </c>
      <c r="I25" s="48">
        <f t="shared" si="4"/>
        <v>44143.57</v>
      </c>
      <c r="J25" s="48">
        <f>ROUND(IF(MONTH($A25)=12,2.333,1)*VLOOKUP($A25,'Página11'!$A$1:$S$27,COLUMN(),TRUE),2)</f>
        <v>40284.62</v>
      </c>
      <c r="K25" s="48">
        <f>ROUND(IF(MONTH($A25)=12,2.333,1)*VLOOKUP($A25,'Página11'!$A$1:$S$27,COLUMN(),TRUE),2)</f>
        <v>38371.82</v>
      </c>
      <c r="L25" s="48">
        <f>VLOOKUP($A25,'Página11'!$A$1:$S$27,COLUMN(),TRUE)</f>
        <v>24943.14</v>
      </c>
      <c r="M25" s="48">
        <f>VLOOKUP($A25,'Página11'!$A$1:$S$27,COLUMN(),TRUE)</f>
        <v>3662.5</v>
      </c>
      <c r="N25" s="48">
        <f>VLOOKUP($A25,'Página11'!$A$1:$S$27,COLUMN(),TRUE)</f>
        <v>24943.07</v>
      </c>
      <c r="O25" s="48">
        <f>VLOOKUP($A25,'Página11'!$A$1:$S$27,COLUMN(),TRUE)</f>
        <v>3000</v>
      </c>
      <c r="P25" s="48">
        <f>VLOOKUP($A25,'Página11'!$A$1:$S$27,COLUMN(),TRUE)</f>
        <v>16963.91775</v>
      </c>
      <c r="Q25" s="48">
        <f>VLOOKUP($A25,'Página11'!$A$1:$S$27,COLUMN(),TRUE)</f>
        <v>2655.3125</v>
      </c>
      <c r="R25" s="48">
        <f>VLOOKUP($A25,'Página11'!$A$1:$S$27,COLUMN(),TRUE)</f>
        <v>16963.87425</v>
      </c>
      <c r="S25" s="48">
        <f>VLOOKUP($A25,'Página11'!$A$1:$S$27,COLUMN(),TRUE)</f>
        <v>2175</v>
      </c>
      <c r="T25" s="73">
        <f t="shared" si="5"/>
        <v>2017</v>
      </c>
      <c r="U25" s="73">
        <f t="shared" si="6"/>
        <v>12</v>
      </c>
    </row>
    <row r="26">
      <c r="A26" s="34">
        <v>43101.0</v>
      </c>
      <c r="B26" s="48">
        <f t="shared" si="1"/>
        <v>31934.73</v>
      </c>
      <c r="C26" s="48">
        <f>ROUND(IF(MONTH($A26)=12,2.333,1)*VLOOKUP($A26,'Página11'!$A$1:$S$27,COLUMN(),TRUE),2)</f>
        <v>27100.64</v>
      </c>
      <c r="D26" s="48">
        <f t="shared" si="2"/>
        <v>28827.87</v>
      </c>
      <c r="E26" s="48">
        <f>ROUND(IF(MONTH($A26)=12,2.333,1)*VLOOKUP($A26,'Página11'!$A$1:$S$27,COLUMN(),TRUE),2)</f>
        <v>27100.64</v>
      </c>
      <c r="F26" s="48">
        <f>ROUND(IF(MONTH($A26)=12,2.333,1)*VLOOKUP($A26,'Página11'!$A$1:$S$27,COLUMN(),TRUE),2)</f>
        <v>25745.61</v>
      </c>
      <c r="G26" s="48">
        <f t="shared" si="3"/>
        <v>21938.34</v>
      </c>
      <c r="H26" s="48">
        <f>ROUND(IF(MONTH($A26)=12,2.333,1)*VLOOKUP($A26,'Página11'!$A$1:$S$27,COLUMN(),TRUE),2)</f>
        <v>18356.05</v>
      </c>
      <c r="I26" s="48">
        <f t="shared" si="4"/>
        <v>19685.87</v>
      </c>
      <c r="J26" s="48">
        <f>ROUND(IF(MONTH($A26)=12,2.333,1)*VLOOKUP($A26,'Página11'!$A$1:$S$27,COLUMN(),TRUE),2)</f>
        <v>18356.05</v>
      </c>
      <c r="K26" s="48">
        <f>ROUND(IF(MONTH($A26)=12,2.333,1)*VLOOKUP($A26,'Página11'!$A$1:$S$27,COLUMN(),TRUE),2)</f>
        <v>17481.71</v>
      </c>
      <c r="L26" s="48">
        <f>VLOOKUP($A26,'Página11'!$A$1:$S$27,COLUMN(),TRUE)</f>
        <v>26127.94</v>
      </c>
      <c r="M26" s="48">
        <f>VLOOKUP($A26,'Página11'!$A$1:$S$27,COLUMN(),TRUE)</f>
        <v>6451.99</v>
      </c>
      <c r="N26" s="48">
        <f>VLOOKUP($A26,'Página11'!$A$1:$S$27,COLUMN(),TRUE)</f>
        <v>26127.87</v>
      </c>
      <c r="O26" s="48">
        <f>VLOOKUP($A26,'Página11'!$A$1:$S$27,COLUMN(),TRUE)</f>
        <v>3000</v>
      </c>
      <c r="P26" s="48">
        <f>VLOOKUP($A26,'Página11'!$A$1:$S$27,COLUMN(),TRUE)</f>
        <v>17728.41575</v>
      </c>
      <c r="Q26" s="48">
        <f>VLOOKUP($A26,'Página11'!$A$1:$S$27,COLUMN(),TRUE)</f>
        <v>4677.69275</v>
      </c>
      <c r="R26" s="48">
        <f>VLOOKUP($A26,'Página11'!$A$1:$S$27,COLUMN(),TRUE)</f>
        <v>17728.365</v>
      </c>
      <c r="S26" s="48">
        <f>VLOOKUP($A26,'Página11'!$A$1:$S$27,COLUMN(),TRUE)</f>
        <v>2175</v>
      </c>
      <c r="T26" s="73">
        <f t="shared" si="5"/>
        <v>2018</v>
      </c>
      <c r="U26" s="73">
        <f t="shared" si="6"/>
        <v>1</v>
      </c>
    </row>
    <row r="27">
      <c r="A27" s="34">
        <v>43132.0</v>
      </c>
      <c r="B27" s="48">
        <f t="shared" si="1"/>
        <v>31934.73</v>
      </c>
      <c r="C27" s="48">
        <f>ROUND(IF(MONTH($A27)=12,2.333,1)*VLOOKUP($A27,'Página11'!$A$1:$S$27,COLUMN(),TRUE),2)</f>
        <v>27100.64</v>
      </c>
      <c r="D27" s="48">
        <f t="shared" si="2"/>
        <v>28827.87</v>
      </c>
      <c r="E27" s="48">
        <f>ROUND(IF(MONTH($A27)=12,2.333,1)*VLOOKUP($A27,'Página11'!$A$1:$S$27,COLUMN(),TRUE),2)</f>
        <v>27100.64</v>
      </c>
      <c r="F27" s="48">
        <f>ROUND(IF(MONTH($A27)=12,2.333,1)*VLOOKUP($A27,'Página11'!$A$1:$S$27,COLUMN(),TRUE),2)</f>
        <v>25745.61</v>
      </c>
      <c r="G27" s="48">
        <f t="shared" si="3"/>
        <v>21938.34</v>
      </c>
      <c r="H27" s="48">
        <f>ROUND(IF(MONTH($A27)=12,2.333,1)*VLOOKUP($A27,'Página11'!$A$1:$S$27,COLUMN(),TRUE),2)</f>
        <v>18356.05</v>
      </c>
      <c r="I27" s="48">
        <f t="shared" si="4"/>
        <v>19685.87</v>
      </c>
      <c r="J27" s="48">
        <f>ROUND(IF(MONTH($A27)=12,2.333,1)*VLOOKUP($A27,'Página11'!$A$1:$S$27,COLUMN(),TRUE),2)</f>
        <v>18356.05</v>
      </c>
      <c r="K27" s="48">
        <f>ROUND(IF(MONTH($A27)=12,2.333,1)*VLOOKUP($A27,'Página11'!$A$1:$S$27,COLUMN(),TRUE),2)</f>
        <v>17481.71</v>
      </c>
      <c r="L27" s="48">
        <f>VLOOKUP($A27,'Página11'!$A$1:$S$27,COLUMN(),TRUE)</f>
        <v>26127.94</v>
      </c>
      <c r="M27" s="48">
        <f>VLOOKUP($A27,'Página11'!$A$1:$S$27,COLUMN(),TRUE)</f>
        <v>6451.99</v>
      </c>
      <c r="N27" s="48">
        <f>VLOOKUP($A27,'Página11'!$A$1:$S$27,COLUMN(),TRUE)</f>
        <v>26127.87</v>
      </c>
      <c r="O27" s="48">
        <f>VLOOKUP($A27,'Página11'!$A$1:$S$27,COLUMN(),TRUE)</f>
        <v>3000</v>
      </c>
      <c r="P27" s="48">
        <f>VLOOKUP($A27,'Página11'!$A$1:$S$27,COLUMN(),TRUE)</f>
        <v>17728.41575</v>
      </c>
      <c r="Q27" s="48">
        <f>VLOOKUP($A27,'Página11'!$A$1:$S$27,COLUMN(),TRUE)</f>
        <v>4677.69275</v>
      </c>
      <c r="R27" s="48">
        <f>VLOOKUP($A27,'Página11'!$A$1:$S$27,COLUMN(),TRUE)</f>
        <v>17728.365</v>
      </c>
      <c r="S27" s="48">
        <f>VLOOKUP($A27,'Página11'!$A$1:$S$27,COLUMN(),TRUE)</f>
        <v>2175</v>
      </c>
      <c r="T27" s="73">
        <f t="shared" si="5"/>
        <v>2018</v>
      </c>
      <c r="U27" s="73">
        <f t="shared" si="6"/>
        <v>2</v>
      </c>
    </row>
    <row r="28">
      <c r="A28" s="34">
        <v>43160.0</v>
      </c>
      <c r="B28" s="48">
        <f t="shared" si="1"/>
        <v>31934.73</v>
      </c>
      <c r="C28" s="48">
        <f>ROUND(IF(MONTH($A28)=12,2.333,1)*VLOOKUP($A28,'Página11'!$A$1:$S$27,COLUMN(),TRUE),2)</f>
        <v>27100.64</v>
      </c>
      <c r="D28" s="48">
        <f t="shared" si="2"/>
        <v>28827.87</v>
      </c>
      <c r="E28" s="48">
        <f>ROUND(IF(MONTH($A28)=12,2.333,1)*VLOOKUP($A28,'Página11'!$A$1:$S$27,COLUMN(),TRUE),2)</f>
        <v>27100.64</v>
      </c>
      <c r="F28" s="48">
        <f>ROUND(IF(MONTH($A28)=12,2.333,1)*VLOOKUP($A28,'Página11'!$A$1:$S$27,COLUMN(),TRUE),2)</f>
        <v>25745.61</v>
      </c>
      <c r="G28" s="48">
        <f t="shared" si="3"/>
        <v>21938.34</v>
      </c>
      <c r="H28" s="48">
        <f>ROUND(IF(MONTH($A28)=12,2.333,1)*VLOOKUP($A28,'Página11'!$A$1:$S$27,COLUMN(),TRUE),2)</f>
        <v>18356.05</v>
      </c>
      <c r="I28" s="48">
        <f t="shared" si="4"/>
        <v>19685.87</v>
      </c>
      <c r="J28" s="48">
        <f>ROUND(IF(MONTH($A28)=12,2.333,1)*VLOOKUP($A28,'Página11'!$A$1:$S$27,COLUMN(),TRUE),2)</f>
        <v>18356.05</v>
      </c>
      <c r="K28" s="48">
        <f>ROUND(IF(MONTH($A28)=12,2.333,1)*VLOOKUP($A28,'Página11'!$A$1:$S$27,COLUMN(),TRUE),2)</f>
        <v>17481.71</v>
      </c>
      <c r="L28" s="48">
        <f>VLOOKUP($A28,'Página11'!$A$1:$S$27,COLUMN(),TRUE)</f>
        <v>26127.94</v>
      </c>
      <c r="M28" s="48">
        <f>VLOOKUP($A28,'Página11'!$A$1:$S$27,COLUMN(),TRUE)</f>
        <v>6451.99</v>
      </c>
      <c r="N28" s="48">
        <f>VLOOKUP($A28,'Página11'!$A$1:$S$27,COLUMN(),TRUE)</f>
        <v>26127.87</v>
      </c>
      <c r="O28" s="48">
        <f>VLOOKUP($A28,'Página11'!$A$1:$S$27,COLUMN(),TRUE)</f>
        <v>3000</v>
      </c>
      <c r="P28" s="48">
        <f>VLOOKUP($A28,'Página11'!$A$1:$S$27,COLUMN(),TRUE)</f>
        <v>17728.41575</v>
      </c>
      <c r="Q28" s="48">
        <f>VLOOKUP($A28,'Página11'!$A$1:$S$27,COLUMN(),TRUE)</f>
        <v>4677.69275</v>
      </c>
      <c r="R28" s="48">
        <f>VLOOKUP($A28,'Página11'!$A$1:$S$27,COLUMN(),TRUE)</f>
        <v>17728.365</v>
      </c>
      <c r="S28" s="48">
        <f>VLOOKUP($A28,'Página11'!$A$1:$S$27,COLUMN(),TRUE)</f>
        <v>2175</v>
      </c>
      <c r="T28" s="73">
        <f t="shared" si="5"/>
        <v>2018</v>
      </c>
      <c r="U28" s="73">
        <f t="shared" si="6"/>
        <v>3</v>
      </c>
    </row>
    <row r="29">
      <c r="A29" s="34">
        <v>43191.0</v>
      </c>
      <c r="B29" s="48">
        <f t="shared" si="1"/>
        <v>31934.73</v>
      </c>
      <c r="C29" s="48">
        <f>ROUND(IF(MONTH($A29)=12,2.333,1)*VLOOKUP($A29,'Página11'!$A$1:$S$27,COLUMN(),TRUE),2)</f>
        <v>27100.64</v>
      </c>
      <c r="D29" s="48">
        <f t="shared" si="2"/>
        <v>28827.87</v>
      </c>
      <c r="E29" s="48">
        <f>ROUND(IF(MONTH($A29)=12,2.333,1)*VLOOKUP($A29,'Página11'!$A$1:$S$27,COLUMN(),TRUE),2)</f>
        <v>27100.64</v>
      </c>
      <c r="F29" s="48">
        <f>ROUND(IF(MONTH($A29)=12,2.333,1)*VLOOKUP($A29,'Página11'!$A$1:$S$27,COLUMN(),TRUE),2)</f>
        <v>25745.61</v>
      </c>
      <c r="G29" s="48">
        <f t="shared" si="3"/>
        <v>21938.34</v>
      </c>
      <c r="H29" s="48">
        <f>ROUND(IF(MONTH($A29)=12,2.333,1)*VLOOKUP($A29,'Página11'!$A$1:$S$27,COLUMN(),TRUE),2)</f>
        <v>18356.05</v>
      </c>
      <c r="I29" s="48">
        <f t="shared" si="4"/>
        <v>19685.87</v>
      </c>
      <c r="J29" s="48">
        <f>ROUND(IF(MONTH($A29)=12,2.333,1)*VLOOKUP($A29,'Página11'!$A$1:$S$27,COLUMN(),TRUE),2)</f>
        <v>18356.05</v>
      </c>
      <c r="K29" s="48">
        <f>ROUND(IF(MONTH($A29)=12,2.333,1)*VLOOKUP($A29,'Página11'!$A$1:$S$27,COLUMN(),TRUE),2)</f>
        <v>17481.71</v>
      </c>
      <c r="L29" s="48">
        <f>VLOOKUP($A29,'Página11'!$A$1:$S$27,COLUMN(),TRUE)</f>
        <v>26127.94</v>
      </c>
      <c r="M29" s="48">
        <f>VLOOKUP($A29,'Página11'!$A$1:$S$27,COLUMN(),TRUE)</f>
        <v>6451.99</v>
      </c>
      <c r="N29" s="48">
        <f>VLOOKUP($A29,'Página11'!$A$1:$S$27,COLUMN(),TRUE)</f>
        <v>26127.87</v>
      </c>
      <c r="O29" s="48">
        <f>VLOOKUP($A29,'Página11'!$A$1:$S$27,COLUMN(),TRUE)</f>
        <v>3000</v>
      </c>
      <c r="P29" s="48">
        <f>VLOOKUP($A29,'Página11'!$A$1:$S$27,COLUMN(),TRUE)</f>
        <v>17728.41575</v>
      </c>
      <c r="Q29" s="48">
        <f>VLOOKUP($A29,'Página11'!$A$1:$S$27,COLUMN(),TRUE)</f>
        <v>4677.69275</v>
      </c>
      <c r="R29" s="48">
        <f>VLOOKUP($A29,'Página11'!$A$1:$S$27,COLUMN(),TRUE)</f>
        <v>17728.365</v>
      </c>
      <c r="S29" s="48">
        <f>VLOOKUP($A29,'Página11'!$A$1:$S$27,COLUMN(),TRUE)</f>
        <v>2175</v>
      </c>
      <c r="T29" s="73">
        <f t="shared" si="5"/>
        <v>2018</v>
      </c>
      <c r="U29" s="73">
        <f t="shared" si="6"/>
        <v>4</v>
      </c>
    </row>
    <row r="30">
      <c r="A30" s="34">
        <v>43221.0</v>
      </c>
      <c r="B30" s="48">
        <f t="shared" si="1"/>
        <v>31934.73</v>
      </c>
      <c r="C30" s="48">
        <f>ROUND(IF(MONTH($A30)=12,2.333,1)*VLOOKUP($A30,'Página11'!$A$1:$S$27,COLUMN(),TRUE),2)</f>
        <v>27100.64</v>
      </c>
      <c r="D30" s="48">
        <f t="shared" si="2"/>
        <v>28827.87</v>
      </c>
      <c r="E30" s="48">
        <f>ROUND(IF(MONTH($A30)=12,2.333,1)*VLOOKUP($A30,'Página11'!$A$1:$S$27,COLUMN(),TRUE),2)</f>
        <v>27100.64</v>
      </c>
      <c r="F30" s="48">
        <f>ROUND(IF(MONTH($A30)=12,2.333,1)*VLOOKUP($A30,'Página11'!$A$1:$S$27,COLUMN(),TRUE),2)</f>
        <v>25745.61</v>
      </c>
      <c r="G30" s="48">
        <f t="shared" si="3"/>
        <v>21938.34</v>
      </c>
      <c r="H30" s="48">
        <f>ROUND(IF(MONTH($A30)=12,2.333,1)*VLOOKUP($A30,'Página11'!$A$1:$S$27,COLUMN(),TRUE),2)</f>
        <v>18356.05</v>
      </c>
      <c r="I30" s="48">
        <f t="shared" si="4"/>
        <v>19685.87</v>
      </c>
      <c r="J30" s="48">
        <f>ROUND(IF(MONTH($A30)=12,2.333,1)*VLOOKUP($A30,'Página11'!$A$1:$S$27,COLUMN(),TRUE),2)</f>
        <v>18356.05</v>
      </c>
      <c r="K30" s="48">
        <f>ROUND(IF(MONTH($A30)=12,2.333,1)*VLOOKUP($A30,'Página11'!$A$1:$S$27,COLUMN(),TRUE),2)</f>
        <v>17481.71</v>
      </c>
      <c r="L30" s="48">
        <f>VLOOKUP($A30,'Página11'!$A$1:$S$27,COLUMN(),TRUE)</f>
        <v>26127.94</v>
      </c>
      <c r="M30" s="48">
        <f>VLOOKUP($A30,'Página11'!$A$1:$S$27,COLUMN(),TRUE)</f>
        <v>6451.99</v>
      </c>
      <c r="N30" s="48">
        <f>VLOOKUP($A30,'Página11'!$A$1:$S$27,COLUMN(),TRUE)</f>
        <v>26127.87</v>
      </c>
      <c r="O30" s="48">
        <f>VLOOKUP($A30,'Página11'!$A$1:$S$27,COLUMN(),TRUE)</f>
        <v>3000</v>
      </c>
      <c r="P30" s="48">
        <f>VLOOKUP($A30,'Página11'!$A$1:$S$27,COLUMN(),TRUE)</f>
        <v>17728.41575</v>
      </c>
      <c r="Q30" s="48">
        <f>VLOOKUP($A30,'Página11'!$A$1:$S$27,COLUMN(),TRUE)</f>
        <v>4677.69275</v>
      </c>
      <c r="R30" s="48">
        <f>VLOOKUP($A30,'Página11'!$A$1:$S$27,COLUMN(),TRUE)</f>
        <v>17728.365</v>
      </c>
      <c r="S30" s="48">
        <f>VLOOKUP($A30,'Página11'!$A$1:$S$27,COLUMN(),TRUE)</f>
        <v>2175</v>
      </c>
      <c r="T30" s="73">
        <f t="shared" si="5"/>
        <v>2018</v>
      </c>
      <c r="U30" s="73">
        <f t="shared" si="6"/>
        <v>5</v>
      </c>
    </row>
    <row r="31">
      <c r="A31" s="34">
        <v>43252.0</v>
      </c>
      <c r="B31" s="48">
        <f t="shared" si="1"/>
        <v>31934.73</v>
      </c>
      <c r="C31" s="48">
        <f>ROUND(IF(MONTH($A31)=12,2.333,1)*VLOOKUP($A31,'Página11'!$A$1:$S$27,COLUMN(),TRUE),2)</f>
        <v>27100.64</v>
      </c>
      <c r="D31" s="48">
        <f t="shared" si="2"/>
        <v>28827.87</v>
      </c>
      <c r="E31" s="48">
        <f>ROUND(IF(MONTH($A31)=12,2.333,1)*VLOOKUP($A31,'Página11'!$A$1:$S$27,COLUMN(),TRUE),2)</f>
        <v>27100.64</v>
      </c>
      <c r="F31" s="48">
        <f>ROUND(IF(MONTH($A31)=12,2.333,1)*VLOOKUP($A31,'Página11'!$A$1:$S$27,COLUMN(),TRUE),2)</f>
        <v>25745.61</v>
      </c>
      <c r="G31" s="48">
        <f t="shared" si="3"/>
        <v>21938.34</v>
      </c>
      <c r="H31" s="48">
        <f>ROUND(IF(MONTH($A31)=12,2.333,1)*VLOOKUP($A31,'Página11'!$A$1:$S$27,COLUMN(),TRUE),2)</f>
        <v>18356.05</v>
      </c>
      <c r="I31" s="48">
        <f t="shared" si="4"/>
        <v>19685.87</v>
      </c>
      <c r="J31" s="48">
        <f>ROUND(IF(MONTH($A31)=12,2.333,1)*VLOOKUP($A31,'Página11'!$A$1:$S$27,COLUMN(),TRUE),2)</f>
        <v>18356.05</v>
      </c>
      <c r="K31" s="48">
        <f>ROUND(IF(MONTH($A31)=12,2.333,1)*VLOOKUP($A31,'Página11'!$A$1:$S$27,COLUMN(),TRUE),2)</f>
        <v>17481.71</v>
      </c>
      <c r="L31" s="48">
        <f>VLOOKUP($A31,'Página11'!$A$1:$S$27,COLUMN(),TRUE)</f>
        <v>26127.94</v>
      </c>
      <c r="M31" s="48">
        <f>VLOOKUP($A31,'Página11'!$A$1:$S$27,COLUMN(),TRUE)</f>
        <v>6451.99</v>
      </c>
      <c r="N31" s="48">
        <f>VLOOKUP($A31,'Página11'!$A$1:$S$27,COLUMN(),TRUE)</f>
        <v>26127.87</v>
      </c>
      <c r="O31" s="48">
        <f>VLOOKUP($A31,'Página11'!$A$1:$S$27,COLUMN(),TRUE)</f>
        <v>3000</v>
      </c>
      <c r="P31" s="48">
        <f>VLOOKUP($A31,'Página11'!$A$1:$S$27,COLUMN(),TRUE)</f>
        <v>17728.41575</v>
      </c>
      <c r="Q31" s="48">
        <f>VLOOKUP($A31,'Página11'!$A$1:$S$27,COLUMN(),TRUE)</f>
        <v>4677.69275</v>
      </c>
      <c r="R31" s="48">
        <f>VLOOKUP($A31,'Página11'!$A$1:$S$27,COLUMN(),TRUE)</f>
        <v>17728.365</v>
      </c>
      <c r="S31" s="48">
        <f>VLOOKUP($A31,'Página11'!$A$1:$S$27,COLUMN(),TRUE)</f>
        <v>2175</v>
      </c>
      <c r="T31" s="73">
        <f t="shared" si="5"/>
        <v>2018</v>
      </c>
      <c r="U31" s="73">
        <f t="shared" si="6"/>
        <v>6</v>
      </c>
    </row>
    <row r="32">
      <c r="A32" s="34">
        <v>43282.0</v>
      </c>
      <c r="B32" s="48">
        <f t="shared" si="1"/>
        <v>31934.73</v>
      </c>
      <c r="C32" s="48">
        <f>ROUND(IF(MONTH($A32)=12,2.333,1)*VLOOKUP($A32,'Página11'!$A$1:$S$27,COLUMN(),TRUE),2)</f>
        <v>27100.64</v>
      </c>
      <c r="D32" s="48">
        <f t="shared" si="2"/>
        <v>28827.87</v>
      </c>
      <c r="E32" s="48">
        <f>ROUND(IF(MONTH($A32)=12,2.333,1)*VLOOKUP($A32,'Página11'!$A$1:$S$27,COLUMN(),TRUE),2)</f>
        <v>27100.64</v>
      </c>
      <c r="F32" s="48">
        <f>ROUND(IF(MONTH($A32)=12,2.333,1)*VLOOKUP($A32,'Página11'!$A$1:$S$27,COLUMN(),TRUE),2)</f>
        <v>25745.61</v>
      </c>
      <c r="G32" s="48">
        <f t="shared" si="3"/>
        <v>21938.34</v>
      </c>
      <c r="H32" s="48">
        <f>ROUND(IF(MONTH($A32)=12,2.333,1)*VLOOKUP($A32,'Página11'!$A$1:$S$27,COLUMN(),TRUE),2)</f>
        <v>18356.05</v>
      </c>
      <c r="I32" s="48">
        <f t="shared" si="4"/>
        <v>19685.87</v>
      </c>
      <c r="J32" s="48">
        <f>ROUND(IF(MONTH($A32)=12,2.333,1)*VLOOKUP($A32,'Página11'!$A$1:$S$27,COLUMN(),TRUE),2)</f>
        <v>18356.05</v>
      </c>
      <c r="K32" s="48">
        <f>ROUND(IF(MONTH($A32)=12,2.333,1)*VLOOKUP($A32,'Página11'!$A$1:$S$27,COLUMN(),TRUE),2)</f>
        <v>17481.71</v>
      </c>
      <c r="L32" s="48">
        <f>VLOOKUP($A32,'Página11'!$A$1:$S$27,COLUMN(),TRUE)</f>
        <v>26127.94</v>
      </c>
      <c r="M32" s="48">
        <f>VLOOKUP($A32,'Página11'!$A$1:$S$27,COLUMN(),TRUE)</f>
        <v>6451.99</v>
      </c>
      <c r="N32" s="48">
        <f>VLOOKUP($A32,'Página11'!$A$1:$S$27,COLUMN(),TRUE)</f>
        <v>26127.87</v>
      </c>
      <c r="O32" s="48">
        <f>VLOOKUP($A32,'Página11'!$A$1:$S$27,COLUMN(),TRUE)</f>
        <v>3000</v>
      </c>
      <c r="P32" s="48">
        <f>VLOOKUP($A32,'Página11'!$A$1:$S$27,COLUMN(),TRUE)</f>
        <v>17728.41575</v>
      </c>
      <c r="Q32" s="48">
        <f>VLOOKUP($A32,'Página11'!$A$1:$S$27,COLUMN(),TRUE)</f>
        <v>4677.69275</v>
      </c>
      <c r="R32" s="48">
        <f>VLOOKUP($A32,'Página11'!$A$1:$S$27,COLUMN(),TRUE)</f>
        <v>17728.365</v>
      </c>
      <c r="S32" s="48">
        <f>VLOOKUP($A32,'Página11'!$A$1:$S$27,COLUMN(),TRUE)</f>
        <v>2175</v>
      </c>
      <c r="T32" s="73">
        <f t="shared" si="5"/>
        <v>2018</v>
      </c>
      <c r="U32" s="73">
        <f t="shared" si="6"/>
        <v>7</v>
      </c>
    </row>
    <row r="33">
      <c r="A33" s="34">
        <v>43313.0</v>
      </c>
      <c r="B33" s="48">
        <f t="shared" si="1"/>
        <v>31934.73</v>
      </c>
      <c r="C33" s="48">
        <f>ROUND(IF(MONTH($A33)=12,2.333,1)*VLOOKUP($A33,'Página11'!$A$1:$S$27,COLUMN(),TRUE),2)</f>
        <v>27100.64</v>
      </c>
      <c r="D33" s="48">
        <f t="shared" si="2"/>
        <v>28827.87</v>
      </c>
      <c r="E33" s="48">
        <f>ROUND(IF(MONTH($A33)=12,2.333,1)*VLOOKUP($A33,'Página11'!$A$1:$S$27,COLUMN(),TRUE),2)</f>
        <v>27100.64</v>
      </c>
      <c r="F33" s="48">
        <f>ROUND(IF(MONTH($A33)=12,2.333,1)*VLOOKUP($A33,'Página11'!$A$1:$S$27,COLUMN(),TRUE),2)</f>
        <v>25745.61</v>
      </c>
      <c r="G33" s="48">
        <f t="shared" si="3"/>
        <v>21938.34</v>
      </c>
      <c r="H33" s="48">
        <f>ROUND(IF(MONTH($A33)=12,2.333,1)*VLOOKUP($A33,'Página11'!$A$1:$S$27,COLUMN(),TRUE),2)</f>
        <v>18356.05</v>
      </c>
      <c r="I33" s="48">
        <f t="shared" si="4"/>
        <v>19685.87</v>
      </c>
      <c r="J33" s="48">
        <f>ROUND(IF(MONTH($A33)=12,2.333,1)*VLOOKUP($A33,'Página11'!$A$1:$S$27,COLUMN(),TRUE),2)</f>
        <v>18356.05</v>
      </c>
      <c r="K33" s="48">
        <f>ROUND(IF(MONTH($A33)=12,2.333,1)*VLOOKUP($A33,'Página11'!$A$1:$S$27,COLUMN(),TRUE),2)</f>
        <v>17481.71</v>
      </c>
      <c r="L33" s="48">
        <f>VLOOKUP($A33,'Página11'!$A$1:$S$27,COLUMN(),TRUE)</f>
        <v>26127.94</v>
      </c>
      <c r="M33" s="48">
        <f>VLOOKUP($A33,'Página11'!$A$1:$S$27,COLUMN(),TRUE)</f>
        <v>6451.99</v>
      </c>
      <c r="N33" s="48">
        <f>VLOOKUP($A33,'Página11'!$A$1:$S$27,COLUMN(),TRUE)</f>
        <v>26127.87</v>
      </c>
      <c r="O33" s="48">
        <f>VLOOKUP($A33,'Página11'!$A$1:$S$27,COLUMN(),TRUE)</f>
        <v>3000</v>
      </c>
      <c r="P33" s="48">
        <f>VLOOKUP($A33,'Página11'!$A$1:$S$27,COLUMN(),TRUE)</f>
        <v>17728.41575</v>
      </c>
      <c r="Q33" s="48">
        <f>VLOOKUP($A33,'Página11'!$A$1:$S$27,COLUMN(),TRUE)</f>
        <v>4677.69275</v>
      </c>
      <c r="R33" s="48">
        <f>VLOOKUP($A33,'Página11'!$A$1:$S$27,COLUMN(),TRUE)</f>
        <v>17728.365</v>
      </c>
      <c r="S33" s="48">
        <f>VLOOKUP($A33,'Página11'!$A$1:$S$27,COLUMN(),TRUE)</f>
        <v>2175</v>
      </c>
      <c r="T33" s="73">
        <f t="shared" si="5"/>
        <v>2018</v>
      </c>
      <c r="U33" s="73">
        <f t="shared" si="6"/>
        <v>8</v>
      </c>
    </row>
    <row r="34">
      <c r="A34" s="34">
        <v>43344.0</v>
      </c>
      <c r="B34" s="48">
        <f t="shared" si="1"/>
        <v>31934.73</v>
      </c>
      <c r="C34" s="48">
        <f>ROUND(IF(MONTH($A34)=12,2.333,1)*VLOOKUP($A34,'Página11'!$A$1:$S$27,COLUMN(),TRUE),2)</f>
        <v>27100.64</v>
      </c>
      <c r="D34" s="48">
        <f t="shared" si="2"/>
        <v>28827.87</v>
      </c>
      <c r="E34" s="48">
        <f>ROUND(IF(MONTH($A34)=12,2.333,1)*VLOOKUP($A34,'Página11'!$A$1:$S$27,COLUMN(),TRUE),2)</f>
        <v>27100.64</v>
      </c>
      <c r="F34" s="48">
        <f>ROUND(IF(MONTH($A34)=12,2.333,1)*VLOOKUP($A34,'Página11'!$A$1:$S$27,COLUMN(),TRUE),2)</f>
        <v>25745.61</v>
      </c>
      <c r="G34" s="48">
        <f t="shared" si="3"/>
        <v>21938.34</v>
      </c>
      <c r="H34" s="48">
        <f>ROUND(IF(MONTH($A34)=12,2.333,1)*VLOOKUP($A34,'Página11'!$A$1:$S$27,COLUMN(),TRUE),2)</f>
        <v>18356.05</v>
      </c>
      <c r="I34" s="48">
        <f t="shared" si="4"/>
        <v>19685.87</v>
      </c>
      <c r="J34" s="48">
        <f>ROUND(IF(MONTH($A34)=12,2.333,1)*VLOOKUP($A34,'Página11'!$A$1:$S$27,COLUMN(),TRUE),2)</f>
        <v>18356.05</v>
      </c>
      <c r="K34" s="48">
        <f>ROUND(IF(MONTH($A34)=12,2.333,1)*VLOOKUP($A34,'Página11'!$A$1:$S$27,COLUMN(),TRUE),2)</f>
        <v>17481.71</v>
      </c>
      <c r="L34" s="48">
        <f>VLOOKUP($A34,'Página11'!$A$1:$S$27,COLUMN(),TRUE)</f>
        <v>26127.94</v>
      </c>
      <c r="M34" s="48">
        <f>VLOOKUP($A34,'Página11'!$A$1:$S$27,COLUMN(),TRUE)</f>
        <v>6451.99</v>
      </c>
      <c r="N34" s="48">
        <f>VLOOKUP($A34,'Página11'!$A$1:$S$27,COLUMN(),TRUE)</f>
        <v>26127.87</v>
      </c>
      <c r="O34" s="48">
        <f>VLOOKUP($A34,'Página11'!$A$1:$S$27,COLUMN(),TRUE)</f>
        <v>3000</v>
      </c>
      <c r="P34" s="48">
        <f>VLOOKUP($A34,'Página11'!$A$1:$S$27,COLUMN(),TRUE)</f>
        <v>17728.41575</v>
      </c>
      <c r="Q34" s="48">
        <f>VLOOKUP($A34,'Página11'!$A$1:$S$27,COLUMN(),TRUE)</f>
        <v>4677.69275</v>
      </c>
      <c r="R34" s="48">
        <f>VLOOKUP($A34,'Página11'!$A$1:$S$27,COLUMN(),TRUE)</f>
        <v>17728.365</v>
      </c>
      <c r="S34" s="48">
        <f>VLOOKUP($A34,'Página11'!$A$1:$S$27,COLUMN(),TRUE)</f>
        <v>2175</v>
      </c>
      <c r="T34" s="73">
        <f t="shared" si="5"/>
        <v>2018</v>
      </c>
      <c r="U34" s="73">
        <f t="shared" si="6"/>
        <v>9</v>
      </c>
    </row>
    <row r="35">
      <c r="A35" s="34">
        <v>43374.0</v>
      </c>
      <c r="B35" s="48">
        <f t="shared" si="1"/>
        <v>31934.73</v>
      </c>
      <c r="C35" s="48">
        <f>ROUND(IF(MONTH($A35)=12,2.333,1)*VLOOKUP($A35,'Página11'!$A$1:$S$27,COLUMN(),TRUE),2)</f>
        <v>27100.64</v>
      </c>
      <c r="D35" s="48">
        <f t="shared" si="2"/>
        <v>28827.87</v>
      </c>
      <c r="E35" s="48">
        <f>ROUND(IF(MONTH($A35)=12,2.333,1)*VLOOKUP($A35,'Página11'!$A$1:$S$27,COLUMN(),TRUE),2)</f>
        <v>27100.64</v>
      </c>
      <c r="F35" s="48">
        <f>ROUND(IF(MONTH($A35)=12,2.333,1)*VLOOKUP($A35,'Página11'!$A$1:$S$27,COLUMN(),TRUE),2)</f>
        <v>25745.61</v>
      </c>
      <c r="G35" s="48">
        <f t="shared" si="3"/>
        <v>21938.34</v>
      </c>
      <c r="H35" s="48">
        <f>ROUND(IF(MONTH($A35)=12,2.333,1)*VLOOKUP($A35,'Página11'!$A$1:$S$27,COLUMN(),TRUE),2)</f>
        <v>18356.05</v>
      </c>
      <c r="I35" s="48">
        <f t="shared" si="4"/>
        <v>19685.87</v>
      </c>
      <c r="J35" s="48">
        <f>ROUND(IF(MONTH($A35)=12,2.333,1)*VLOOKUP($A35,'Página11'!$A$1:$S$27,COLUMN(),TRUE),2)</f>
        <v>18356.05</v>
      </c>
      <c r="K35" s="48">
        <f>ROUND(IF(MONTH($A35)=12,2.333,1)*VLOOKUP($A35,'Página11'!$A$1:$S$27,COLUMN(),TRUE),2)</f>
        <v>17481.71</v>
      </c>
      <c r="L35" s="48">
        <f>VLOOKUP($A35,'Página11'!$A$1:$S$27,COLUMN(),TRUE)</f>
        <v>26127.94</v>
      </c>
      <c r="M35" s="48">
        <f>VLOOKUP($A35,'Página11'!$A$1:$S$27,COLUMN(),TRUE)</f>
        <v>6451.99</v>
      </c>
      <c r="N35" s="48">
        <f>VLOOKUP($A35,'Página11'!$A$1:$S$27,COLUMN(),TRUE)</f>
        <v>26127.87</v>
      </c>
      <c r="O35" s="48">
        <f>VLOOKUP($A35,'Página11'!$A$1:$S$27,COLUMN(),TRUE)</f>
        <v>3000</v>
      </c>
      <c r="P35" s="48">
        <f>VLOOKUP($A35,'Página11'!$A$1:$S$27,COLUMN(),TRUE)</f>
        <v>17728.41575</v>
      </c>
      <c r="Q35" s="48">
        <f>VLOOKUP($A35,'Página11'!$A$1:$S$27,COLUMN(),TRUE)</f>
        <v>4677.69275</v>
      </c>
      <c r="R35" s="48">
        <f>VLOOKUP($A35,'Página11'!$A$1:$S$27,COLUMN(),TRUE)</f>
        <v>17728.365</v>
      </c>
      <c r="S35" s="48">
        <f>VLOOKUP($A35,'Página11'!$A$1:$S$27,COLUMN(),TRUE)</f>
        <v>2175</v>
      </c>
      <c r="T35" s="73">
        <f t="shared" si="5"/>
        <v>2018</v>
      </c>
      <c r="U35" s="73">
        <f t="shared" si="6"/>
        <v>10</v>
      </c>
    </row>
    <row r="36">
      <c r="A36" s="34">
        <v>43405.0</v>
      </c>
      <c r="B36" s="48">
        <f t="shared" si="1"/>
        <v>31934.73</v>
      </c>
      <c r="C36" s="48">
        <f>ROUND(IF(MONTH($A36)=12,2.333,1)*VLOOKUP($A36,'Página11'!$A$1:$S$27,COLUMN(),TRUE),2)</f>
        <v>27100.64</v>
      </c>
      <c r="D36" s="48">
        <f t="shared" si="2"/>
        <v>28827.87</v>
      </c>
      <c r="E36" s="48">
        <f>ROUND(IF(MONTH($A36)=12,2.333,1)*VLOOKUP($A36,'Página11'!$A$1:$S$27,COLUMN(),TRUE),2)</f>
        <v>27100.64</v>
      </c>
      <c r="F36" s="48">
        <f>ROUND(IF(MONTH($A36)=12,2.333,1)*VLOOKUP($A36,'Página11'!$A$1:$S$27,COLUMN(),TRUE),2)</f>
        <v>25745.61</v>
      </c>
      <c r="G36" s="48">
        <f t="shared" si="3"/>
        <v>21938.34</v>
      </c>
      <c r="H36" s="48">
        <f>ROUND(IF(MONTH($A36)=12,2.333,1)*VLOOKUP($A36,'Página11'!$A$1:$S$27,COLUMN(),TRUE),2)</f>
        <v>18356.05</v>
      </c>
      <c r="I36" s="48">
        <f t="shared" si="4"/>
        <v>19685.87</v>
      </c>
      <c r="J36" s="48">
        <f>ROUND(IF(MONTH($A36)=12,2.333,1)*VLOOKUP($A36,'Página11'!$A$1:$S$27,COLUMN(),TRUE),2)</f>
        <v>18356.05</v>
      </c>
      <c r="K36" s="48">
        <f>ROUND(IF(MONTH($A36)=12,2.333,1)*VLOOKUP($A36,'Página11'!$A$1:$S$27,COLUMN(),TRUE),2)</f>
        <v>17481.71</v>
      </c>
      <c r="L36" s="48">
        <f>VLOOKUP($A36,'Página11'!$A$1:$S$27,COLUMN(),TRUE)</f>
        <v>26127.94</v>
      </c>
      <c r="M36" s="48">
        <f>VLOOKUP($A36,'Página11'!$A$1:$S$27,COLUMN(),TRUE)</f>
        <v>6451.99</v>
      </c>
      <c r="N36" s="48">
        <f>VLOOKUP($A36,'Página11'!$A$1:$S$27,COLUMN(),TRUE)</f>
        <v>26127.87</v>
      </c>
      <c r="O36" s="48">
        <f>VLOOKUP($A36,'Página11'!$A$1:$S$27,COLUMN(),TRUE)</f>
        <v>3000</v>
      </c>
      <c r="P36" s="48">
        <f>VLOOKUP($A36,'Página11'!$A$1:$S$27,COLUMN(),TRUE)</f>
        <v>17728.41575</v>
      </c>
      <c r="Q36" s="48">
        <f>VLOOKUP($A36,'Página11'!$A$1:$S$27,COLUMN(),TRUE)</f>
        <v>4677.69275</v>
      </c>
      <c r="R36" s="48">
        <f>VLOOKUP($A36,'Página11'!$A$1:$S$27,COLUMN(),TRUE)</f>
        <v>17728.365</v>
      </c>
      <c r="S36" s="48">
        <f>VLOOKUP($A36,'Página11'!$A$1:$S$27,COLUMN(),TRUE)</f>
        <v>2175</v>
      </c>
      <c r="T36" s="73">
        <f t="shared" si="5"/>
        <v>2018</v>
      </c>
      <c r="U36" s="73">
        <f t="shared" si="6"/>
        <v>11</v>
      </c>
    </row>
    <row r="37">
      <c r="A37" s="34">
        <v>43435.0</v>
      </c>
      <c r="B37" s="48">
        <f t="shared" si="1"/>
        <v>75724.28</v>
      </c>
      <c r="C37" s="48">
        <f>ROUND(IF(MONTH($A37)=12,2.333,1)*VLOOKUP($A37,'Página11'!$A$1:$S$27,COLUMN(),TRUE),2)</f>
        <v>63225.8</v>
      </c>
      <c r="D37" s="48">
        <f t="shared" si="2"/>
        <v>67255.42</v>
      </c>
      <c r="E37" s="48">
        <f>ROUND(IF(MONTH($A37)=12,2.333,1)*VLOOKUP($A37,'Página11'!$A$1:$S$27,COLUMN(),TRUE),2)</f>
        <v>63225.8</v>
      </c>
      <c r="F37" s="48">
        <f>ROUND(IF(MONTH($A37)=12,2.333,1)*VLOOKUP($A37,'Página11'!$A$1:$S$27,COLUMN(),TRUE),2)</f>
        <v>60064.51</v>
      </c>
      <c r="G37" s="48">
        <f t="shared" si="3"/>
        <v>52067.04</v>
      </c>
      <c r="H37" s="48">
        <f>ROUND(IF(MONTH($A37)=12,2.333,1)*VLOOKUP($A37,'Página11'!$A$1:$S$27,COLUMN(),TRUE),2)</f>
        <v>42824.66</v>
      </c>
      <c r="I37" s="48">
        <f t="shared" si="4"/>
        <v>45927.12</v>
      </c>
      <c r="J37" s="48">
        <f>ROUND(IF(MONTH($A37)=12,2.333,1)*VLOOKUP($A37,'Página11'!$A$1:$S$27,COLUMN(),TRUE),2)</f>
        <v>42824.66</v>
      </c>
      <c r="K37" s="48">
        <f>ROUND(IF(MONTH($A37)=12,2.333,1)*VLOOKUP($A37,'Página11'!$A$1:$S$27,COLUMN(),TRUE),2)</f>
        <v>40784.84</v>
      </c>
      <c r="L37" s="48">
        <f>VLOOKUP($A37,'Página11'!$A$1:$S$27,COLUMN(),TRUE)</f>
        <v>26127.94</v>
      </c>
      <c r="M37" s="48">
        <f>VLOOKUP($A37,'Página11'!$A$1:$S$27,COLUMN(),TRUE)</f>
        <v>7033.29</v>
      </c>
      <c r="N37" s="48">
        <f>VLOOKUP($A37,'Página11'!$A$1:$S$27,COLUMN(),TRUE)</f>
        <v>26127.87</v>
      </c>
      <c r="O37" s="48">
        <f>VLOOKUP($A37,'Página11'!$A$1:$S$27,COLUMN(),TRUE)</f>
        <v>3000</v>
      </c>
      <c r="P37" s="48">
        <f>VLOOKUP($A37,'Página11'!$A$1:$S$27,COLUMN(),TRUE)</f>
        <v>17728.41575</v>
      </c>
      <c r="Q37" s="48">
        <f>VLOOKUP($A37,'Página11'!$A$1:$S$27,COLUMN(),TRUE)</f>
        <v>5099.13525</v>
      </c>
      <c r="R37" s="48">
        <f>VLOOKUP($A37,'Página11'!$A$1:$S$27,COLUMN(),TRUE)</f>
        <v>17728.365</v>
      </c>
      <c r="S37" s="48">
        <f>VLOOKUP($A37,'Página11'!$A$1:$S$27,COLUMN(),TRUE)</f>
        <v>2175</v>
      </c>
      <c r="T37" s="73">
        <f t="shared" si="5"/>
        <v>2018</v>
      </c>
      <c r="U37" s="73">
        <f t="shared" si="6"/>
        <v>12</v>
      </c>
    </row>
    <row r="38">
      <c r="A38" s="34">
        <v>43466.0</v>
      </c>
      <c r="B38" s="48">
        <f t="shared" si="1"/>
        <v>33798.42</v>
      </c>
      <c r="C38" s="48">
        <f>ROUND(IF(MONTH($A38)=12,2.333,1)*VLOOKUP($A38,'Página11'!$A$1:$S$27,COLUMN(),TRUE),2)</f>
        <v>28810.18</v>
      </c>
      <c r="D38" s="48">
        <f t="shared" si="2"/>
        <v>30003.62</v>
      </c>
      <c r="E38" s="48">
        <f>ROUND(IF(MONTH($A38)=12,2.333,1)*VLOOKUP($A38,'Página11'!$A$1:$S$27,COLUMN(),TRUE),2)</f>
        <v>28810.18</v>
      </c>
      <c r="F38" s="48">
        <f>ROUND(IF(MONTH($A38)=12,2.333,1)*VLOOKUP($A38,'Página11'!$A$1:$S$27,COLUMN(),TRUE),2)</f>
        <v>27369.67</v>
      </c>
      <c r="G38" s="48">
        <f t="shared" si="3"/>
        <v>23195.74</v>
      </c>
      <c r="H38" s="48">
        <f>ROUND(IF(MONTH($A38)=12,2.333,1)*VLOOKUP($A38,'Página11'!$A$1:$S$27,COLUMN(),TRUE),2)</f>
        <v>19459.13</v>
      </c>
      <c r="I38" s="48">
        <f t="shared" si="4"/>
        <v>20444.52</v>
      </c>
      <c r="J38" s="48">
        <f>ROUND(IF(MONTH($A38)=12,2.333,1)*VLOOKUP($A38,'Página11'!$A$1:$S$27,COLUMN(),TRUE),2)</f>
        <v>19459.13</v>
      </c>
      <c r="K38" s="48">
        <f>ROUND(IF(MONTH($A38)=12,2.333,1)*VLOOKUP($A38,'Página11'!$A$1:$S$27,COLUMN(),TRUE),2)</f>
        <v>18529.64</v>
      </c>
      <c r="L38" s="48">
        <f>VLOOKUP($A38,'Página11'!$A$1:$S$27,COLUMN(),TRUE)</f>
        <v>27303.7</v>
      </c>
      <c r="M38" s="48">
        <f>VLOOKUP($A38,'Página11'!$A$1:$S$27,COLUMN(),TRUE)</f>
        <v>7216.35</v>
      </c>
      <c r="N38" s="48">
        <f>VLOOKUP($A38,'Página11'!$A$1:$S$27,COLUMN(),TRUE)</f>
        <v>27303.62</v>
      </c>
      <c r="O38" s="48">
        <f>VLOOKUP($A38,'Página11'!$A$1:$S$27,COLUMN(),TRUE)</f>
        <v>3000</v>
      </c>
      <c r="P38" s="48">
        <f>VLOOKUP($A38,'Página11'!$A$1:$S$27,COLUMN(),TRUE)</f>
        <v>18487.07025</v>
      </c>
      <c r="Q38" s="48">
        <f>VLOOKUP($A38,'Página11'!$A$1:$S$27,COLUMN(),TRUE)</f>
        <v>5231.85375</v>
      </c>
      <c r="R38" s="48">
        <f>VLOOKUP($A38,'Página11'!$A$1:$S$27,COLUMN(),TRUE)</f>
        <v>18487.0195</v>
      </c>
      <c r="S38" s="48">
        <f>VLOOKUP($A38,'Página11'!$A$1:$S$27,COLUMN(),TRUE)</f>
        <v>2175</v>
      </c>
      <c r="T38" s="73">
        <f t="shared" si="5"/>
        <v>2019</v>
      </c>
      <c r="U38" s="73">
        <f t="shared" si="6"/>
        <v>1</v>
      </c>
    </row>
    <row r="39">
      <c r="A39" s="34">
        <v>43497.0</v>
      </c>
      <c r="B39" s="48">
        <f t="shared" si="1"/>
        <v>33798.42</v>
      </c>
      <c r="C39" s="48">
        <f>ROUND(IF(MONTH($A39)=12,2.333,1)*VLOOKUP($A39,'Página11'!$A$1:$S$27,COLUMN(),TRUE),2)</f>
        <v>28810.18</v>
      </c>
      <c r="D39" s="48">
        <f t="shared" si="2"/>
        <v>30003.62</v>
      </c>
      <c r="E39" s="48">
        <f>ROUND(IF(MONTH($A39)=12,2.333,1)*VLOOKUP($A39,'Página11'!$A$1:$S$27,COLUMN(),TRUE),2)</f>
        <v>28810.18</v>
      </c>
      <c r="F39" s="48">
        <f>ROUND(IF(MONTH($A39)=12,2.333,1)*VLOOKUP($A39,'Página11'!$A$1:$S$27,COLUMN(),TRUE),2)</f>
        <v>27369.67</v>
      </c>
      <c r="G39" s="48">
        <f t="shared" si="3"/>
        <v>23195.74</v>
      </c>
      <c r="H39" s="48">
        <f>ROUND(IF(MONTH($A39)=12,2.333,1)*VLOOKUP($A39,'Página11'!$A$1:$S$27,COLUMN(),TRUE),2)</f>
        <v>19459.13</v>
      </c>
      <c r="I39" s="48">
        <f t="shared" si="4"/>
        <v>20444.52</v>
      </c>
      <c r="J39" s="48">
        <f>ROUND(IF(MONTH($A39)=12,2.333,1)*VLOOKUP($A39,'Página11'!$A$1:$S$27,COLUMN(),TRUE),2)</f>
        <v>19459.13</v>
      </c>
      <c r="K39" s="48">
        <f>ROUND(IF(MONTH($A39)=12,2.333,1)*VLOOKUP($A39,'Página11'!$A$1:$S$27,COLUMN(),TRUE),2)</f>
        <v>18529.64</v>
      </c>
      <c r="L39" s="48">
        <f>VLOOKUP($A39,'Página11'!$A$1:$S$27,COLUMN(),TRUE)</f>
        <v>27303.7</v>
      </c>
      <c r="M39" s="48">
        <f>VLOOKUP($A39,'Página11'!$A$1:$S$27,COLUMN(),TRUE)</f>
        <v>7216.35</v>
      </c>
      <c r="N39" s="48">
        <f>VLOOKUP($A39,'Página11'!$A$1:$S$27,COLUMN(),TRUE)</f>
        <v>27303.62</v>
      </c>
      <c r="O39" s="48">
        <f>VLOOKUP($A39,'Página11'!$A$1:$S$27,COLUMN(),TRUE)</f>
        <v>3000</v>
      </c>
      <c r="P39" s="48">
        <f>VLOOKUP($A39,'Página11'!$A$1:$S$27,COLUMN(),TRUE)</f>
        <v>18487.07025</v>
      </c>
      <c r="Q39" s="48">
        <f>VLOOKUP($A39,'Página11'!$A$1:$S$27,COLUMN(),TRUE)</f>
        <v>5231.85375</v>
      </c>
      <c r="R39" s="48">
        <f>VLOOKUP($A39,'Página11'!$A$1:$S$27,COLUMN(),TRUE)</f>
        <v>18487.0195</v>
      </c>
      <c r="S39" s="48">
        <f>VLOOKUP($A39,'Página11'!$A$1:$S$27,COLUMN(),TRUE)</f>
        <v>2175</v>
      </c>
      <c r="T39" s="73">
        <f t="shared" si="5"/>
        <v>2019</v>
      </c>
      <c r="U39" s="73">
        <f t="shared" si="6"/>
        <v>2</v>
      </c>
    </row>
    <row r="40">
      <c r="A40" s="34">
        <v>43525.0</v>
      </c>
      <c r="B40" s="48">
        <f t="shared" si="1"/>
        <v>33798.42</v>
      </c>
      <c r="C40" s="48">
        <f>ROUND(IF(MONTH($A40)=12,2.333,1)*VLOOKUP($A40,'Página11'!$A$1:$S$27,COLUMN(),TRUE),2)</f>
        <v>28810.18</v>
      </c>
      <c r="D40" s="48">
        <f t="shared" si="2"/>
        <v>30003.62</v>
      </c>
      <c r="E40" s="48">
        <f>ROUND(IF(MONTH($A40)=12,2.333,1)*VLOOKUP($A40,'Página11'!$A$1:$S$27,COLUMN(),TRUE),2)</f>
        <v>28810.18</v>
      </c>
      <c r="F40" s="48">
        <f>ROUND(IF(MONTH($A40)=12,2.333,1)*VLOOKUP($A40,'Página11'!$A$1:$S$27,COLUMN(),TRUE),2)</f>
        <v>27369.67</v>
      </c>
      <c r="G40" s="48">
        <f t="shared" si="3"/>
        <v>23195.74</v>
      </c>
      <c r="H40" s="48">
        <f>ROUND(IF(MONTH($A40)=12,2.333,1)*VLOOKUP($A40,'Página11'!$A$1:$S$27,COLUMN(),TRUE),2)</f>
        <v>19459.13</v>
      </c>
      <c r="I40" s="48">
        <f t="shared" si="4"/>
        <v>20444.52</v>
      </c>
      <c r="J40" s="48">
        <f>ROUND(IF(MONTH($A40)=12,2.333,1)*VLOOKUP($A40,'Página11'!$A$1:$S$27,COLUMN(),TRUE),2)</f>
        <v>19459.13</v>
      </c>
      <c r="K40" s="48">
        <f>ROUND(IF(MONTH($A40)=12,2.333,1)*VLOOKUP($A40,'Página11'!$A$1:$S$27,COLUMN(),TRUE),2)</f>
        <v>18529.64</v>
      </c>
      <c r="L40" s="48">
        <f>VLOOKUP($A40,'Página11'!$A$1:$S$27,COLUMN(),TRUE)</f>
        <v>27303.7</v>
      </c>
      <c r="M40" s="48">
        <f>VLOOKUP($A40,'Página11'!$A$1:$S$27,COLUMN(),TRUE)</f>
        <v>7216.35</v>
      </c>
      <c r="N40" s="48">
        <f>VLOOKUP($A40,'Página11'!$A$1:$S$27,COLUMN(),TRUE)</f>
        <v>27303.62</v>
      </c>
      <c r="O40" s="48">
        <f>VLOOKUP($A40,'Página11'!$A$1:$S$27,COLUMN(),TRUE)</f>
        <v>3000</v>
      </c>
      <c r="P40" s="48">
        <f>VLOOKUP($A40,'Página11'!$A$1:$S$27,COLUMN(),TRUE)</f>
        <v>18487.07025</v>
      </c>
      <c r="Q40" s="48">
        <f>VLOOKUP($A40,'Página11'!$A$1:$S$27,COLUMN(),TRUE)</f>
        <v>5231.85375</v>
      </c>
      <c r="R40" s="48">
        <f>VLOOKUP($A40,'Página11'!$A$1:$S$27,COLUMN(),TRUE)</f>
        <v>18487.0195</v>
      </c>
      <c r="S40" s="48">
        <f>VLOOKUP($A40,'Página11'!$A$1:$S$27,COLUMN(),TRUE)</f>
        <v>2175</v>
      </c>
      <c r="T40" s="73">
        <f t="shared" si="5"/>
        <v>2019</v>
      </c>
      <c r="U40" s="73">
        <f t="shared" si="6"/>
        <v>3</v>
      </c>
    </row>
    <row r="41">
      <c r="A41" s="34">
        <v>43556.0</v>
      </c>
      <c r="B41" s="48">
        <f t="shared" si="1"/>
        <v>33798.42</v>
      </c>
      <c r="C41" s="48">
        <f>ROUND(IF(MONTH($A41)=12,2.333,1)*VLOOKUP($A41,'Página11'!$A$1:$S$27,COLUMN(),TRUE),2)</f>
        <v>28810.18</v>
      </c>
      <c r="D41" s="48">
        <f t="shared" si="2"/>
        <v>30003.62</v>
      </c>
      <c r="E41" s="48">
        <f>ROUND(IF(MONTH($A41)=12,2.333,1)*VLOOKUP($A41,'Página11'!$A$1:$S$27,COLUMN(),TRUE),2)</f>
        <v>28810.18</v>
      </c>
      <c r="F41" s="48">
        <f>ROUND(IF(MONTH($A41)=12,2.333,1)*VLOOKUP($A41,'Página11'!$A$1:$S$27,COLUMN(),TRUE),2)</f>
        <v>27369.67</v>
      </c>
      <c r="G41" s="48">
        <f t="shared" si="3"/>
        <v>23195.74</v>
      </c>
      <c r="H41" s="48">
        <f>ROUND(IF(MONTH($A41)=12,2.333,1)*VLOOKUP($A41,'Página11'!$A$1:$S$27,COLUMN(),TRUE),2)</f>
        <v>19459.13</v>
      </c>
      <c r="I41" s="48">
        <f t="shared" si="4"/>
        <v>20444.52</v>
      </c>
      <c r="J41" s="48">
        <f>ROUND(IF(MONTH($A41)=12,2.333,1)*VLOOKUP($A41,'Página11'!$A$1:$S$27,COLUMN(),TRUE),2)</f>
        <v>19459.13</v>
      </c>
      <c r="K41" s="48">
        <f>ROUND(IF(MONTH($A41)=12,2.333,1)*VLOOKUP($A41,'Página11'!$A$1:$S$27,COLUMN(),TRUE),2)</f>
        <v>18529.64</v>
      </c>
      <c r="L41" s="48">
        <f>VLOOKUP($A41,'Página11'!$A$1:$S$27,COLUMN(),TRUE)</f>
        <v>27303.7</v>
      </c>
      <c r="M41" s="48">
        <f>VLOOKUP($A41,'Página11'!$A$1:$S$27,COLUMN(),TRUE)</f>
        <v>7216.35</v>
      </c>
      <c r="N41" s="48">
        <f>VLOOKUP($A41,'Página11'!$A$1:$S$27,COLUMN(),TRUE)</f>
        <v>27303.62</v>
      </c>
      <c r="O41" s="48">
        <f>VLOOKUP($A41,'Página11'!$A$1:$S$27,COLUMN(),TRUE)</f>
        <v>3000</v>
      </c>
      <c r="P41" s="48">
        <f>VLOOKUP($A41,'Página11'!$A$1:$S$27,COLUMN(),TRUE)</f>
        <v>18487.07025</v>
      </c>
      <c r="Q41" s="48">
        <f>VLOOKUP($A41,'Página11'!$A$1:$S$27,COLUMN(),TRUE)</f>
        <v>5231.85375</v>
      </c>
      <c r="R41" s="48">
        <f>VLOOKUP($A41,'Página11'!$A$1:$S$27,COLUMN(),TRUE)</f>
        <v>18487.0195</v>
      </c>
      <c r="S41" s="48">
        <f>VLOOKUP($A41,'Página11'!$A$1:$S$27,COLUMN(),TRUE)</f>
        <v>2175</v>
      </c>
      <c r="T41" s="73">
        <f t="shared" si="5"/>
        <v>2019</v>
      </c>
      <c r="U41" s="73">
        <f t="shared" si="6"/>
        <v>4</v>
      </c>
    </row>
    <row r="42">
      <c r="A42" s="34">
        <v>43586.0</v>
      </c>
      <c r="B42" s="48">
        <f t="shared" si="1"/>
        <v>33798.42</v>
      </c>
      <c r="C42" s="48">
        <f>ROUND(IF(MONTH($A42)=12,2.333,1)*VLOOKUP($A42,'Página11'!$A$1:$S$27,COLUMN(),TRUE),2)</f>
        <v>28810.18</v>
      </c>
      <c r="D42" s="48">
        <f t="shared" si="2"/>
        <v>30003.62</v>
      </c>
      <c r="E42" s="48">
        <f>ROUND(IF(MONTH($A42)=12,2.333,1)*VLOOKUP($A42,'Página11'!$A$1:$S$27,COLUMN(),TRUE),2)</f>
        <v>28810.18</v>
      </c>
      <c r="F42" s="48">
        <f>ROUND(IF(MONTH($A42)=12,2.333,1)*VLOOKUP($A42,'Página11'!$A$1:$S$27,COLUMN(),TRUE),2)</f>
        <v>27369.67</v>
      </c>
      <c r="G42" s="48">
        <f t="shared" si="3"/>
        <v>23195.74</v>
      </c>
      <c r="H42" s="48">
        <f>ROUND(IF(MONTH($A42)=12,2.333,1)*VLOOKUP($A42,'Página11'!$A$1:$S$27,COLUMN(),TRUE),2)</f>
        <v>19459.13</v>
      </c>
      <c r="I42" s="48">
        <f t="shared" si="4"/>
        <v>20444.52</v>
      </c>
      <c r="J42" s="48">
        <f>ROUND(IF(MONTH($A42)=12,2.333,1)*VLOOKUP($A42,'Página11'!$A$1:$S$27,COLUMN(),TRUE),2)</f>
        <v>19459.13</v>
      </c>
      <c r="K42" s="48">
        <f>ROUND(IF(MONTH($A42)=12,2.333,1)*VLOOKUP($A42,'Página11'!$A$1:$S$27,COLUMN(),TRUE),2)</f>
        <v>18529.64</v>
      </c>
      <c r="L42" s="48">
        <f>VLOOKUP($A42,'Página11'!$A$1:$S$27,COLUMN(),TRUE)</f>
        <v>27303.7</v>
      </c>
      <c r="M42" s="48">
        <f>VLOOKUP($A42,'Página11'!$A$1:$S$27,COLUMN(),TRUE)</f>
        <v>7216.35</v>
      </c>
      <c r="N42" s="48">
        <f>VLOOKUP($A42,'Página11'!$A$1:$S$27,COLUMN(),TRUE)</f>
        <v>27303.62</v>
      </c>
      <c r="O42" s="48">
        <f>VLOOKUP($A42,'Página11'!$A$1:$S$27,COLUMN(),TRUE)</f>
        <v>3000</v>
      </c>
      <c r="P42" s="48">
        <f>VLOOKUP($A42,'Página11'!$A$1:$S$27,COLUMN(),TRUE)</f>
        <v>18487.07025</v>
      </c>
      <c r="Q42" s="48">
        <f>VLOOKUP($A42,'Página11'!$A$1:$S$27,COLUMN(),TRUE)</f>
        <v>5231.85375</v>
      </c>
      <c r="R42" s="48">
        <f>VLOOKUP($A42,'Página11'!$A$1:$S$27,COLUMN(),TRUE)</f>
        <v>18487.0195</v>
      </c>
      <c r="S42" s="48">
        <f>VLOOKUP($A42,'Página11'!$A$1:$S$27,COLUMN(),TRUE)</f>
        <v>2175</v>
      </c>
      <c r="T42" s="73">
        <f t="shared" si="5"/>
        <v>2019</v>
      </c>
      <c r="U42" s="73">
        <f t="shared" si="6"/>
        <v>5</v>
      </c>
    </row>
    <row r="43">
      <c r="A43" s="34">
        <v>43617.0</v>
      </c>
      <c r="B43" s="48">
        <f t="shared" si="1"/>
        <v>33798.42</v>
      </c>
      <c r="C43" s="48">
        <f>ROUND(IF(MONTH($A43)=12,2.333,1)*VLOOKUP($A43,'Página11'!$A$1:$S$27,COLUMN(),TRUE),2)</f>
        <v>28810.18</v>
      </c>
      <c r="D43" s="48">
        <f t="shared" si="2"/>
        <v>30003.62</v>
      </c>
      <c r="E43" s="48">
        <f>ROUND(IF(MONTH($A43)=12,2.333,1)*VLOOKUP($A43,'Página11'!$A$1:$S$27,COLUMN(),TRUE),2)</f>
        <v>28810.18</v>
      </c>
      <c r="F43" s="48">
        <f>ROUND(IF(MONTH($A43)=12,2.333,1)*VLOOKUP($A43,'Página11'!$A$1:$S$27,COLUMN(),TRUE),2)</f>
        <v>27369.67</v>
      </c>
      <c r="G43" s="48">
        <f t="shared" si="3"/>
        <v>23195.74</v>
      </c>
      <c r="H43" s="48">
        <f>ROUND(IF(MONTH($A43)=12,2.333,1)*VLOOKUP($A43,'Página11'!$A$1:$S$27,COLUMN(),TRUE),2)</f>
        <v>19459.13</v>
      </c>
      <c r="I43" s="48">
        <f t="shared" si="4"/>
        <v>20444.52</v>
      </c>
      <c r="J43" s="48">
        <f>ROUND(IF(MONTH($A43)=12,2.333,1)*VLOOKUP($A43,'Página11'!$A$1:$S$27,COLUMN(),TRUE),2)</f>
        <v>19459.13</v>
      </c>
      <c r="K43" s="48">
        <f>ROUND(IF(MONTH($A43)=12,2.333,1)*VLOOKUP($A43,'Página11'!$A$1:$S$27,COLUMN(),TRUE),2)</f>
        <v>18529.64</v>
      </c>
      <c r="L43" s="48">
        <f>VLOOKUP($A43,'Página11'!$A$1:$S$27,COLUMN(),TRUE)</f>
        <v>27303.7</v>
      </c>
      <c r="M43" s="48">
        <f>VLOOKUP($A43,'Página11'!$A$1:$S$27,COLUMN(),TRUE)</f>
        <v>7216.35</v>
      </c>
      <c r="N43" s="48">
        <f>VLOOKUP($A43,'Página11'!$A$1:$S$27,COLUMN(),TRUE)</f>
        <v>27303.62</v>
      </c>
      <c r="O43" s="48">
        <f>VLOOKUP($A43,'Página11'!$A$1:$S$27,COLUMN(),TRUE)</f>
        <v>3000</v>
      </c>
      <c r="P43" s="48">
        <f>VLOOKUP($A43,'Página11'!$A$1:$S$27,COLUMN(),TRUE)</f>
        <v>18487.07025</v>
      </c>
      <c r="Q43" s="48">
        <f>VLOOKUP($A43,'Página11'!$A$1:$S$27,COLUMN(),TRUE)</f>
        <v>5231.85375</v>
      </c>
      <c r="R43" s="48">
        <f>VLOOKUP($A43,'Página11'!$A$1:$S$27,COLUMN(),TRUE)</f>
        <v>18487.0195</v>
      </c>
      <c r="S43" s="48">
        <f>VLOOKUP($A43,'Página11'!$A$1:$S$27,COLUMN(),TRUE)</f>
        <v>2175</v>
      </c>
      <c r="T43" s="73">
        <f t="shared" si="5"/>
        <v>2019</v>
      </c>
      <c r="U43" s="73">
        <f t="shared" si="6"/>
        <v>6</v>
      </c>
    </row>
    <row r="44">
      <c r="A44" s="34">
        <v>43647.0</v>
      </c>
      <c r="B44" s="48">
        <f t="shared" si="1"/>
        <v>33798.42</v>
      </c>
      <c r="C44" s="48">
        <f>ROUND(IF(MONTH($A44)=12,2.333,1)*VLOOKUP($A44,'Página11'!$A$1:$S$27,COLUMN(),TRUE),2)</f>
        <v>28810.18</v>
      </c>
      <c r="D44" s="48">
        <f t="shared" si="2"/>
        <v>30003.62</v>
      </c>
      <c r="E44" s="48">
        <f>ROUND(IF(MONTH($A44)=12,2.333,1)*VLOOKUP($A44,'Página11'!$A$1:$S$27,COLUMN(),TRUE),2)</f>
        <v>28810.18</v>
      </c>
      <c r="F44" s="48">
        <f>ROUND(IF(MONTH($A44)=12,2.333,1)*VLOOKUP($A44,'Página11'!$A$1:$S$27,COLUMN(),TRUE),2)</f>
        <v>27369.67</v>
      </c>
      <c r="G44" s="48">
        <f t="shared" si="3"/>
        <v>23195.74</v>
      </c>
      <c r="H44" s="48">
        <f>ROUND(IF(MONTH($A44)=12,2.333,1)*VLOOKUP($A44,'Página11'!$A$1:$S$27,COLUMN(),TRUE),2)</f>
        <v>19459.13</v>
      </c>
      <c r="I44" s="48">
        <f t="shared" si="4"/>
        <v>20444.52</v>
      </c>
      <c r="J44" s="48">
        <f>ROUND(IF(MONTH($A44)=12,2.333,1)*VLOOKUP($A44,'Página11'!$A$1:$S$27,COLUMN(),TRUE),2)</f>
        <v>19459.13</v>
      </c>
      <c r="K44" s="48">
        <f>ROUND(IF(MONTH($A44)=12,2.333,1)*VLOOKUP($A44,'Página11'!$A$1:$S$27,COLUMN(),TRUE),2)</f>
        <v>18529.64</v>
      </c>
      <c r="L44" s="48">
        <f>VLOOKUP($A44,'Página11'!$A$1:$S$27,COLUMN(),TRUE)</f>
        <v>27303.7</v>
      </c>
      <c r="M44" s="48">
        <f>VLOOKUP($A44,'Página11'!$A$1:$S$27,COLUMN(),TRUE)</f>
        <v>7216.35</v>
      </c>
      <c r="N44" s="48">
        <f>VLOOKUP($A44,'Página11'!$A$1:$S$27,COLUMN(),TRUE)</f>
        <v>27303.62</v>
      </c>
      <c r="O44" s="48">
        <f>VLOOKUP($A44,'Página11'!$A$1:$S$27,COLUMN(),TRUE)</f>
        <v>3000</v>
      </c>
      <c r="P44" s="48">
        <f>VLOOKUP($A44,'Página11'!$A$1:$S$27,COLUMN(),TRUE)</f>
        <v>18487.07025</v>
      </c>
      <c r="Q44" s="48">
        <f>VLOOKUP($A44,'Página11'!$A$1:$S$27,COLUMN(),TRUE)</f>
        <v>5231.85375</v>
      </c>
      <c r="R44" s="48">
        <f>VLOOKUP($A44,'Página11'!$A$1:$S$27,COLUMN(),TRUE)</f>
        <v>18487.0195</v>
      </c>
      <c r="S44" s="48">
        <f>VLOOKUP($A44,'Página11'!$A$1:$S$27,COLUMN(),TRUE)</f>
        <v>2175</v>
      </c>
      <c r="T44" s="73">
        <f t="shared" si="5"/>
        <v>2019</v>
      </c>
      <c r="U44" s="73">
        <f t="shared" si="6"/>
        <v>7</v>
      </c>
    </row>
    <row r="45">
      <c r="A45" s="34">
        <v>43678.0</v>
      </c>
      <c r="B45" s="48">
        <f t="shared" si="1"/>
        <v>33798.42</v>
      </c>
      <c r="C45" s="48">
        <f>ROUND(IF(MONTH($A45)=12,2.333,1)*VLOOKUP($A45,'Página11'!$A$1:$S$27,COLUMN(),TRUE),2)</f>
        <v>28810.18</v>
      </c>
      <c r="D45" s="48">
        <f t="shared" si="2"/>
        <v>30003.62</v>
      </c>
      <c r="E45" s="48">
        <f>ROUND(IF(MONTH($A45)=12,2.333,1)*VLOOKUP($A45,'Página11'!$A$1:$S$27,COLUMN(),TRUE),2)</f>
        <v>28810.18</v>
      </c>
      <c r="F45" s="48">
        <f>ROUND(IF(MONTH($A45)=12,2.333,1)*VLOOKUP($A45,'Página11'!$A$1:$S$27,COLUMN(),TRUE),2)</f>
        <v>27369.67</v>
      </c>
      <c r="G45" s="48">
        <f t="shared" si="3"/>
        <v>23195.74</v>
      </c>
      <c r="H45" s="48">
        <f>ROUND(IF(MONTH($A45)=12,2.333,1)*VLOOKUP($A45,'Página11'!$A$1:$S$27,COLUMN(),TRUE),2)</f>
        <v>19459.13</v>
      </c>
      <c r="I45" s="48">
        <f t="shared" si="4"/>
        <v>20444.52</v>
      </c>
      <c r="J45" s="48">
        <f>ROUND(IF(MONTH($A45)=12,2.333,1)*VLOOKUP($A45,'Página11'!$A$1:$S$27,COLUMN(),TRUE),2)</f>
        <v>19459.13</v>
      </c>
      <c r="K45" s="48">
        <f>ROUND(IF(MONTH($A45)=12,2.333,1)*VLOOKUP($A45,'Página11'!$A$1:$S$27,COLUMN(),TRUE),2)</f>
        <v>18529.64</v>
      </c>
      <c r="L45" s="48">
        <f>VLOOKUP($A45,'Página11'!$A$1:$S$27,COLUMN(),TRUE)</f>
        <v>27303.7</v>
      </c>
      <c r="M45" s="48">
        <f>VLOOKUP($A45,'Página11'!$A$1:$S$27,COLUMN(),TRUE)</f>
        <v>7216.35</v>
      </c>
      <c r="N45" s="48">
        <f>VLOOKUP($A45,'Página11'!$A$1:$S$27,COLUMN(),TRUE)</f>
        <v>27303.62</v>
      </c>
      <c r="O45" s="48">
        <f>VLOOKUP($A45,'Página11'!$A$1:$S$27,COLUMN(),TRUE)</f>
        <v>3000</v>
      </c>
      <c r="P45" s="48">
        <f>VLOOKUP($A45,'Página11'!$A$1:$S$27,COLUMN(),TRUE)</f>
        <v>18487.07025</v>
      </c>
      <c r="Q45" s="48">
        <f>VLOOKUP($A45,'Página11'!$A$1:$S$27,COLUMN(),TRUE)</f>
        <v>5231.85375</v>
      </c>
      <c r="R45" s="48">
        <f>VLOOKUP($A45,'Página11'!$A$1:$S$27,COLUMN(),TRUE)</f>
        <v>18487.0195</v>
      </c>
      <c r="S45" s="48">
        <f>VLOOKUP($A45,'Página11'!$A$1:$S$27,COLUMN(),TRUE)</f>
        <v>2175</v>
      </c>
      <c r="T45" s="73">
        <f t="shared" si="5"/>
        <v>2019</v>
      </c>
      <c r="U45" s="73">
        <f t="shared" si="6"/>
        <v>8</v>
      </c>
    </row>
    <row r="46">
      <c r="A46" s="34">
        <v>43709.0</v>
      </c>
      <c r="B46" s="48">
        <f t="shared" si="1"/>
        <v>33798.42</v>
      </c>
      <c r="C46" s="48">
        <f>ROUND(IF(MONTH($A46)=12,2.333,1)*VLOOKUP($A46,'Página11'!$A$1:$S$27,COLUMN(),TRUE),2)</f>
        <v>28810.18</v>
      </c>
      <c r="D46" s="48">
        <f t="shared" si="2"/>
        <v>30003.62</v>
      </c>
      <c r="E46" s="48">
        <f>ROUND(IF(MONTH($A46)=12,2.333,1)*VLOOKUP($A46,'Página11'!$A$1:$S$27,COLUMN(),TRUE),2)</f>
        <v>28810.18</v>
      </c>
      <c r="F46" s="48">
        <f>ROUND(IF(MONTH($A46)=12,2.333,1)*VLOOKUP($A46,'Página11'!$A$1:$S$27,COLUMN(),TRUE),2)</f>
        <v>27369.67</v>
      </c>
      <c r="G46" s="48">
        <f t="shared" si="3"/>
        <v>23195.74</v>
      </c>
      <c r="H46" s="48">
        <f>ROUND(IF(MONTH($A46)=12,2.333,1)*VLOOKUP($A46,'Página11'!$A$1:$S$27,COLUMN(),TRUE),2)</f>
        <v>19459.13</v>
      </c>
      <c r="I46" s="48">
        <f t="shared" si="4"/>
        <v>20444.52</v>
      </c>
      <c r="J46" s="48">
        <f>ROUND(IF(MONTH($A46)=12,2.333,1)*VLOOKUP($A46,'Página11'!$A$1:$S$27,COLUMN(),TRUE),2)</f>
        <v>19459.13</v>
      </c>
      <c r="K46" s="48">
        <f>ROUND(IF(MONTH($A46)=12,2.333,1)*VLOOKUP($A46,'Página11'!$A$1:$S$27,COLUMN(),TRUE),2)</f>
        <v>18529.64</v>
      </c>
      <c r="L46" s="48">
        <f>VLOOKUP($A46,'Página11'!$A$1:$S$27,COLUMN(),TRUE)</f>
        <v>27303.7</v>
      </c>
      <c r="M46" s="48">
        <f>VLOOKUP($A46,'Página11'!$A$1:$S$27,COLUMN(),TRUE)</f>
        <v>7216.35</v>
      </c>
      <c r="N46" s="48">
        <f>VLOOKUP($A46,'Página11'!$A$1:$S$27,COLUMN(),TRUE)</f>
        <v>27303.62</v>
      </c>
      <c r="O46" s="48">
        <f>VLOOKUP($A46,'Página11'!$A$1:$S$27,COLUMN(),TRUE)</f>
        <v>3000</v>
      </c>
      <c r="P46" s="48">
        <f>VLOOKUP($A46,'Página11'!$A$1:$S$27,COLUMN(),TRUE)</f>
        <v>18487.07025</v>
      </c>
      <c r="Q46" s="48">
        <f>VLOOKUP($A46,'Página11'!$A$1:$S$27,COLUMN(),TRUE)</f>
        <v>5231.85375</v>
      </c>
      <c r="R46" s="48">
        <f>VLOOKUP($A46,'Página11'!$A$1:$S$27,COLUMN(),TRUE)</f>
        <v>18487.0195</v>
      </c>
      <c r="S46" s="48">
        <f>VLOOKUP($A46,'Página11'!$A$1:$S$27,COLUMN(),TRUE)</f>
        <v>2175</v>
      </c>
      <c r="T46" s="73">
        <f t="shared" si="5"/>
        <v>2019</v>
      </c>
      <c r="U46" s="73">
        <f t="shared" si="6"/>
        <v>9</v>
      </c>
    </row>
    <row r="47">
      <c r="A47" s="34">
        <v>43739.0</v>
      </c>
      <c r="B47" s="48">
        <f t="shared" si="1"/>
        <v>33798.42</v>
      </c>
      <c r="C47" s="48">
        <f>ROUND(IF(MONTH($A47)=12,2.333,1)*VLOOKUP($A47,'Página11'!$A$1:$S$27,COLUMN(),TRUE),2)</f>
        <v>28810.18</v>
      </c>
      <c r="D47" s="48">
        <f t="shared" si="2"/>
        <v>30003.62</v>
      </c>
      <c r="E47" s="48">
        <f>ROUND(IF(MONTH($A47)=12,2.333,1)*VLOOKUP($A47,'Página11'!$A$1:$S$27,COLUMN(),TRUE),2)</f>
        <v>28810.18</v>
      </c>
      <c r="F47" s="48">
        <f>ROUND(IF(MONTH($A47)=12,2.333,1)*VLOOKUP($A47,'Página11'!$A$1:$S$27,COLUMN(),TRUE),2)</f>
        <v>27369.67</v>
      </c>
      <c r="G47" s="48">
        <f t="shared" si="3"/>
        <v>23195.74</v>
      </c>
      <c r="H47" s="48">
        <f>ROUND(IF(MONTH($A47)=12,2.333,1)*VLOOKUP($A47,'Página11'!$A$1:$S$27,COLUMN(),TRUE),2)</f>
        <v>19459.13</v>
      </c>
      <c r="I47" s="48">
        <f t="shared" si="4"/>
        <v>20444.52</v>
      </c>
      <c r="J47" s="48">
        <f>ROUND(IF(MONTH($A47)=12,2.333,1)*VLOOKUP($A47,'Página11'!$A$1:$S$27,COLUMN(),TRUE),2)</f>
        <v>19459.13</v>
      </c>
      <c r="K47" s="48">
        <f>ROUND(IF(MONTH($A47)=12,2.333,1)*VLOOKUP($A47,'Página11'!$A$1:$S$27,COLUMN(),TRUE),2)</f>
        <v>18529.64</v>
      </c>
      <c r="L47" s="48">
        <f>VLOOKUP($A47,'Página11'!$A$1:$S$27,COLUMN(),TRUE)</f>
        <v>27303.7</v>
      </c>
      <c r="M47" s="48">
        <f>VLOOKUP($A47,'Página11'!$A$1:$S$27,COLUMN(),TRUE)</f>
        <v>7216.35</v>
      </c>
      <c r="N47" s="48">
        <f>VLOOKUP($A47,'Página11'!$A$1:$S$27,COLUMN(),TRUE)</f>
        <v>27303.62</v>
      </c>
      <c r="O47" s="48">
        <f>VLOOKUP($A47,'Página11'!$A$1:$S$27,COLUMN(),TRUE)</f>
        <v>3000</v>
      </c>
      <c r="P47" s="48">
        <f>VLOOKUP($A47,'Página11'!$A$1:$S$27,COLUMN(),TRUE)</f>
        <v>18487.07025</v>
      </c>
      <c r="Q47" s="48">
        <f>VLOOKUP($A47,'Página11'!$A$1:$S$27,COLUMN(),TRUE)</f>
        <v>5231.85375</v>
      </c>
      <c r="R47" s="48">
        <f>VLOOKUP($A47,'Página11'!$A$1:$S$27,COLUMN(),TRUE)</f>
        <v>18487.0195</v>
      </c>
      <c r="S47" s="48">
        <f>VLOOKUP($A47,'Página11'!$A$1:$S$27,COLUMN(),TRUE)</f>
        <v>2175</v>
      </c>
      <c r="T47" s="73">
        <f t="shared" si="5"/>
        <v>2019</v>
      </c>
      <c r="U47" s="73">
        <f t="shared" si="6"/>
        <v>10</v>
      </c>
    </row>
    <row r="48">
      <c r="A48" s="34">
        <v>43770.0</v>
      </c>
      <c r="B48" s="48">
        <f t="shared" si="1"/>
        <v>33798.42</v>
      </c>
      <c r="C48" s="48">
        <f>ROUND(IF(MONTH($A48)=12,2.333,1)*VLOOKUP($A48,'Página11'!$A$1:$S$27,COLUMN(),TRUE),2)</f>
        <v>28810.18</v>
      </c>
      <c r="D48" s="48">
        <f t="shared" si="2"/>
        <v>30003.62</v>
      </c>
      <c r="E48" s="48">
        <f>ROUND(IF(MONTH($A48)=12,2.333,1)*VLOOKUP($A48,'Página11'!$A$1:$S$27,COLUMN(),TRUE),2)</f>
        <v>28810.18</v>
      </c>
      <c r="F48" s="48">
        <f>ROUND(IF(MONTH($A48)=12,2.333,1)*VLOOKUP($A48,'Página11'!$A$1:$S$27,COLUMN(),TRUE),2)</f>
        <v>27369.67</v>
      </c>
      <c r="G48" s="48">
        <f t="shared" si="3"/>
        <v>23195.74</v>
      </c>
      <c r="H48" s="48">
        <f>ROUND(IF(MONTH($A48)=12,2.333,1)*VLOOKUP($A48,'Página11'!$A$1:$S$27,COLUMN(),TRUE),2)</f>
        <v>19459.13</v>
      </c>
      <c r="I48" s="48">
        <f t="shared" si="4"/>
        <v>20444.52</v>
      </c>
      <c r="J48" s="48">
        <f>ROUND(IF(MONTH($A48)=12,2.333,1)*VLOOKUP($A48,'Página11'!$A$1:$S$27,COLUMN(),TRUE),2)</f>
        <v>19459.13</v>
      </c>
      <c r="K48" s="48">
        <f>ROUND(IF(MONTH($A48)=12,2.333,1)*VLOOKUP($A48,'Página11'!$A$1:$S$27,COLUMN(),TRUE),2)</f>
        <v>18529.64</v>
      </c>
      <c r="L48" s="48">
        <f>VLOOKUP($A48,'Página11'!$A$1:$S$27,COLUMN(),TRUE)</f>
        <v>27303.7</v>
      </c>
      <c r="M48" s="48">
        <f>VLOOKUP($A48,'Página11'!$A$1:$S$27,COLUMN(),TRUE)</f>
        <v>7216.35</v>
      </c>
      <c r="N48" s="48">
        <f>VLOOKUP($A48,'Página11'!$A$1:$S$27,COLUMN(),TRUE)</f>
        <v>27303.62</v>
      </c>
      <c r="O48" s="48">
        <f>VLOOKUP($A48,'Página11'!$A$1:$S$27,COLUMN(),TRUE)</f>
        <v>3000</v>
      </c>
      <c r="P48" s="48">
        <f>VLOOKUP($A48,'Página11'!$A$1:$S$27,COLUMN(),TRUE)</f>
        <v>18487.07025</v>
      </c>
      <c r="Q48" s="48">
        <f>VLOOKUP($A48,'Página11'!$A$1:$S$27,COLUMN(),TRUE)</f>
        <v>5231.85375</v>
      </c>
      <c r="R48" s="48">
        <f>VLOOKUP($A48,'Página11'!$A$1:$S$27,COLUMN(),TRUE)</f>
        <v>18487.0195</v>
      </c>
      <c r="S48" s="48">
        <f>VLOOKUP($A48,'Página11'!$A$1:$S$27,COLUMN(),TRUE)</f>
        <v>2175</v>
      </c>
      <c r="T48" s="73">
        <f t="shared" si="5"/>
        <v>2019</v>
      </c>
      <c r="U48" s="73">
        <f t="shared" si="6"/>
        <v>11</v>
      </c>
    </row>
    <row r="49">
      <c r="A49" s="34">
        <v>43800.0</v>
      </c>
      <c r="B49" s="48">
        <f t="shared" si="1"/>
        <v>78851.71</v>
      </c>
      <c r="C49" s="48">
        <f>ROUND(IF(MONTH($A49)=12,2.333,1)*VLOOKUP($A49,'Página11'!$A$1:$S$27,COLUMN(),TRUE),2)</f>
        <v>67214.15</v>
      </c>
      <c r="D49" s="48">
        <f t="shared" si="2"/>
        <v>69998.45</v>
      </c>
      <c r="E49" s="48">
        <f>ROUND(IF(MONTH($A49)=12,2.333,1)*VLOOKUP($A49,'Página11'!$A$1:$S$27,COLUMN(),TRUE),2)</f>
        <v>67214.15</v>
      </c>
      <c r="F49" s="48">
        <f>ROUND(IF(MONTH($A49)=12,2.333,1)*VLOOKUP($A49,'Página11'!$A$1:$S$27,COLUMN(),TRUE),2)</f>
        <v>63853.44</v>
      </c>
      <c r="G49" s="48">
        <f t="shared" si="3"/>
        <v>54115.66</v>
      </c>
      <c r="H49" s="48">
        <f>ROUND(IF(MONTH($A49)=12,2.333,1)*VLOOKUP($A49,'Página11'!$A$1:$S$27,COLUMN(),TRUE),2)</f>
        <v>45398.15</v>
      </c>
      <c r="I49" s="48">
        <f t="shared" si="4"/>
        <v>47697.06</v>
      </c>
      <c r="J49" s="48">
        <f>ROUND(IF(MONTH($A49)=12,2.333,1)*VLOOKUP($A49,'Página11'!$A$1:$S$27,COLUMN(),TRUE),2)</f>
        <v>45398.15</v>
      </c>
      <c r="K49" s="48">
        <f>ROUND(IF(MONTH($A49)=12,2.333,1)*VLOOKUP($A49,'Página11'!$A$1:$S$27,COLUMN(),TRUE),2)</f>
        <v>43229.66</v>
      </c>
      <c r="L49" s="48">
        <f>VLOOKUP($A49,'Página11'!$A$1:$S$27,COLUMN(),TRUE)</f>
        <v>27303.7</v>
      </c>
      <c r="M49" s="48">
        <f>VLOOKUP($A49,'Página11'!$A$1:$S$27,COLUMN(),TRUE)</f>
        <v>7216.35</v>
      </c>
      <c r="N49" s="48">
        <f>VLOOKUP($A49,'Página11'!$A$1:$S$27,COLUMN(),TRUE)</f>
        <v>27303.62</v>
      </c>
      <c r="O49" s="48">
        <f>VLOOKUP($A49,'Página11'!$A$1:$S$27,COLUMN(),TRUE)</f>
        <v>3000</v>
      </c>
      <c r="P49" s="48">
        <f>VLOOKUP($A49,'Página11'!$A$1:$S$27,COLUMN(),TRUE)</f>
        <v>18487.07025</v>
      </c>
      <c r="Q49" s="48">
        <f>VLOOKUP($A49,'Página11'!$A$1:$S$27,COLUMN(),TRUE)</f>
        <v>5231.85375</v>
      </c>
      <c r="R49" s="48">
        <f>VLOOKUP($A49,'Página11'!$A$1:$S$27,COLUMN(),TRUE)</f>
        <v>18487.0195</v>
      </c>
      <c r="S49" s="48">
        <f>VLOOKUP($A49,'Página11'!$A$1:$S$27,COLUMN(),TRUE)</f>
        <v>2175</v>
      </c>
      <c r="T49" s="73">
        <f t="shared" si="5"/>
        <v>2019</v>
      </c>
      <c r="U49" s="73">
        <f t="shared" si="6"/>
        <v>12</v>
      </c>
    </row>
    <row r="50">
      <c r="A50" s="34">
        <v>43831.0</v>
      </c>
      <c r="B50" s="48">
        <f t="shared" si="1"/>
        <v>34368.7</v>
      </c>
      <c r="C50" s="48">
        <f>ROUND(IF(MONTH($A50)=12,2.333,1)*VLOOKUP($A50,'Página11'!$A$1:$S$27,COLUMN(),TRUE),2)</f>
        <v>28810.18</v>
      </c>
      <c r="D50" s="48">
        <f t="shared" si="2"/>
        <v>30003.62</v>
      </c>
      <c r="E50" s="48">
        <f>ROUND(IF(MONTH($A50)=12,2.333,1)*VLOOKUP($A50,'Página11'!$A$1:$S$27,COLUMN(),TRUE),2)</f>
        <v>28810.18</v>
      </c>
      <c r="F50" s="48">
        <f>ROUND(IF(MONTH($A50)=12,2.333,1)*VLOOKUP($A50,'Página11'!$A$1:$S$27,COLUMN(),TRUE),2)</f>
        <v>27369.67</v>
      </c>
      <c r="G50" s="48">
        <f t="shared" si="3"/>
        <v>23609.2</v>
      </c>
      <c r="H50" s="48">
        <f>ROUND(IF(MONTH($A50)=12,2.333,1)*VLOOKUP($A50,'Página11'!$A$1:$S$27,COLUMN(),TRUE),2)</f>
        <v>19459.13</v>
      </c>
      <c r="I50" s="48">
        <f t="shared" si="4"/>
        <v>20444.52</v>
      </c>
      <c r="J50" s="48">
        <f>ROUND(IF(MONTH($A50)=12,2.333,1)*VLOOKUP($A50,'Página11'!$A$1:$S$27,COLUMN(),TRUE),2)</f>
        <v>19459.13</v>
      </c>
      <c r="K50" s="48">
        <f>ROUND(IF(MONTH($A50)=12,2.333,1)*VLOOKUP($A50,'Página11'!$A$1:$S$27,COLUMN(),TRUE),2)</f>
        <v>18529.64</v>
      </c>
      <c r="L50" s="48">
        <f>VLOOKUP($A50,'Página11'!$A$1:$S$27,COLUMN(),TRUE)</f>
        <v>27303.7</v>
      </c>
      <c r="M50" s="48">
        <f>VLOOKUP($A50,'Página11'!$A$1:$S$27,COLUMN(),TRUE)</f>
        <v>7850</v>
      </c>
      <c r="N50" s="48">
        <f>VLOOKUP($A50,'Página11'!$A$1:$S$27,COLUMN(),TRUE)</f>
        <v>27303.62</v>
      </c>
      <c r="O50" s="48">
        <f>VLOOKUP($A50,'Página11'!$A$1:$S$27,COLUMN(),TRUE)</f>
        <v>3000</v>
      </c>
      <c r="P50" s="48">
        <f>VLOOKUP($A50,'Página11'!$A$1:$S$27,COLUMN(),TRUE)</f>
        <v>18487.07025</v>
      </c>
      <c r="Q50" s="48">
        <f>VLOOKUP($A50,'Página11'!$A$1:$S$27,COLUMN(),TRUE)</f>
        <v>5691.25</v>
      </c>
      <c r="R50" s="48">
        <f>VLOOKUP($A50,'Página11'!$A$1:$S$27,COLUMN(),TRUE)</f>
        <v>18487.0195</v>
      </c>
      <c r="S50" s="48">
        <f>VLOOKUP($A50,'Página11'!$A$1:$S$27,COLUMN(),TRUE)</f>
        <v>2175</v>
      </c>
      <c r="T50" s="73">
        <f t="shared" si="5"/>
        <v>2020</v>
      </c>
      <c r="U50" s="73">
        <f t="shared" si="6"/>
        <v>1</v>
      </c>
    </row>
    <row r="51">
      <c r="A51" s="34">
        <v>43862.0</v>
      </c>
      <c r="B51" s="48">
        <f t="shared" si="1"/>
        <v>34368.7</v>
      </c>
      <c r="C51" s="48">
        <f>ROUND(IF(MONTH($A51)=12,2.333,1)*VLOOKUP($A51,'Página11'!$A$1:$S$27,COLUMN(),TRUE),2)</f>
        <v>28810.18</v>
      </c>
      <c r="D51" s="48">
        <f t="shared" si="2"/>
        <v>30003.62</v>
      </c>
      <c r="E51" s="48">
        <f>ROUND(IF(MONTH($A51)=12,2.333,1)*VLOOKUP($A51,'Página11'!$A$1:$S$27,COLUMN(),TRUE),2)</f>
        <v>28810.18</v>
      </c>
      <c r="F51" s="48">
        <f>ROUND(IF(MONTH($A51)=12,2.333,1)*VLOOKUP($A51,'Página11'!$A$1:$S$27,COLUMN(),TRUE),2)</f>
        <v>27369.67</v>
      </c>
      <c r="G51" s="48">
        <f t="shared" si="3"/>
        <v>23609.2</v>
      </c>
      <c r="H51" s="48">
        <f>ROUND(IF(MONTH($A51)=12,2.333,1)*VLOOKUP($A51,'Página11'!$A$1:$S$27,COLUMN(),TRUE),2)</f>
        <v>19459.13</v>
      </c>
      <c r="I51" s="48">
        <f t="shared" si="4"/>
        <v>20444.52</v>
      </c>
      <c r="J51" s="48">
        <f>ROUND(IF(MONTH($A51)=12,2.333,1)*VLOOKUP($A51,'Página11'!$A$1:$S$27,COLUMN(),TRUE),2)</f>
        <v>19459.13</v>
      </c>
      <c r="K51" s="48">
        <f>ROUND(IF(MONTH($A51)=12,2.333,1)*VLOOKUP($A51,'Página11'!$A$1:$S$27,COLUMN(),TRUE),2)</f>
        <v>18529.64</v>
      </c>
      <c r="L51" s="48">
        <f>VLOOKUP($A51,'Página11'!$A$1:$S$27,COLUMN(),TRUE)</f>
        <v>27303.7</v>
      </c>
      <c r="M51" s="48">
        <f>VLOOKUP($A51,'Página11'!$A$1:$S$27,COLUMN(),TRUE)</f>
        <v>7850</v>
      </c>
      <c r="N51" s="48">
        <f>VLOOKUP($A51,'Página11'!$A$1:$S$27,COLUMN(),TRUE)</f>
        <v>27303.62</v>
      </c>
      <c r="O51" s="48">
        <f>VLOOKUP($A51,'Página11'!$A$1:$S$27,COLUMN(),TRUE)</f>
        <v>3000</v>
      </c>
      <c r="P51" s="48">
        <f>VLOOKUP($A51,'Página11'!$A$1:$S$27,COLUMN(),TRUE)</f>
        <v>18487.07025</v>
      </c>
      <c r="Q51" s="48">
        <f>VLOOKUP($A51,'Página11'!$A$1:$S$27,COLUMN(),TRUE)</f>
        <v>5691.25</v>
      </c>
      <c r="R51" s="48">
        <f>VLOOKUP($A51,'Página11'!$A$1:$S$27,COLUMN(),TRUE)</f>
        <v>18487.0195</v>
      </c>
      <c r="S51" s="48">
        <f>VLOOKUP($A51,'Página11'!$A$1:$S$27,COLUMN(),TRUE)</f>
        <v>2175</v>
      </c>
      <c r="T51" s="73">
        <f t="shared" si="5"/>
        <v>2020</v>
      </c>
      <c r="U51" s="73">
        <f t="shared" si="6"/>
        <v>2</v>
      </c>
    </row>
    <row r="52">
      <c r="A52" s="34">
        <v>43891.0</v>
      </c>
      <c r="B52" s="48">
        <f t="shared" si="1"/>
        <v>34630.33</v>
      </c>
      <c r="C52" s="48">
        <f>ROUND(IF(MONTH($A52)=12,2.333,1)*VLOOKUP($A52,'Página11'!$A$1:$S$27,COLUMN(),TRUE),2)</f>
        <v>28810.18</v>
      </c>
      <c r="D52" s="48">
        <f t="shared" si="2"/>
        <v>30003.62</v>
      </c>
      <c r="E52" s="48">
        <f>ROUND(IF(MONTH($A52)=12,2.333,1)*VLOOKUP($A52,'Página11'!$A$1:$S$27,COLUMN(),TRUE),2)</f>
        <v>28810.18</v>
      </c>
      <c r="F52" s="48">
        <f>ROUND(IF(MONTH($A52)=12,2.333,1)*VLOOKUP($A52,'Página11'!$A$1:$S$27,COLUMN(),TRUE),2)</f>
        <v>27369.67</v>
      </c>
      <c r="G52" s="48">
        <f t="shared" si="3"/>
        <v>22869.9</v>
      </c>
      <c r="H52" s="48">
        <f>ROUND(IF(MONTH($A52)=12,2.333,1)*VLOOKUP($A52,'Página11'!$A$1:$S$27,COLUMN(),TRUE),2)</f>
        <v>18442.77</v>
      </c>
      <c r="I52" s="48">
        <f t="shared" si="4"/>
        <v>19515.54</v>
      </c>
      <c r="J52" s="48">
        <f>ROUND(IF(MONTH($A52)=12,2.333,1)*VLOOKUP($A52,'Página11'!$A$1:$S$27,COLUMN(),TRUE),2)</f>
        <v>18442.77</v>
      </c>
      <c r="K52" s="48">
        <f>ROUND(IF(MONTH($A52)=12,2.333,1)*VLOOKUP($A52,'Página11'!$A$1:$S$27,COLUMN(),TRUE),2)</f>
        <v>17596.83</v>
      </c>
      <c r="L52" s="48">
        <f>VLOOKUP($A52,'Página11'!$A$1:$S$27,COLUMN(),TRUE)</f>
        <v>27303.7</v>
      </c>
      <c r="M52" s="48">
        <f>VLOOKUP($A52,'Página11'!$A$1:$S$27,COLUMN(),TRUE)</f>
        <v>8140.7</v>
      </c>
      <c r="N52" s="48">
        <f>VLOOKUP($A52,'Página11'!$A$1:$S$27,COLUMN(),TRUE)</f>
        <v>27303.62</v>
      </c>
      <c r="O52" s="48">
        <f>VLOOKUP($A52,'Página11'!$A$1:$S$27,COLUMN(),TRUE)</f>
        <v>3000</v>
      </c>
      <c r="P52" s="48">
        <f>VLOOKUP($A52,'Página11'!$A$1:$S$27,COLUMN(),TRUE)</f>
        <v>17558.0915</v>
      </c>
      <c r="Q52" s="48">
        <f>VLOOKUP($A52,'Página11'!$A$1:$S$27,COLUMN(),TRUE)</f>
        <v>5902.0075</v>
      </c>
      <c r="R52" s="48">
        <f>VLOOKUP($A52,'Página11'!$A$1:$S$27,COLUMN(),TRUE)</f>
        <v>17558.04075</v>
      </c>
      <c r="S52" s="48">
        <f>VLOOKUP($A52,'Página11'!$A$1:$S$27,COLUMN(),TRUE)</f>
        <v>2175</v>
      </c>
      <c r="T52" s="73">
        <f t="shared" si="5"/>
        <v>2020</v>
      </c>
      <c r="U52" s="73">
        <f t="shared" si="6"/>
        <v>3</v>
      </c>
    </row>
    <row r="53">
      <c r="A53" s="34">
        <v>43922.0</v>
      </c>
      <c r="B53" s="48">
        <f t="shared" si="1"/>
        <v>34630.33</v>
      </c>
      <c r="C53" s="48">
        <f>ROUND(IF(MONTH($A53)=12,2.333,1)*VLOOKUP($A53,'Página11'!$A$1:$S$27,COLUMN(),TRUE),2)</f>
        <v>28810.18</v>
      </c>
      <c r="D53" s="48">
        <f t="shared" si="2"/>
        <v>30003.62</v>
      </c>
      <c r="E53" s="48">
        <f>ROUND(IF(MONTH($A53)=12,2.333,1)*VLOOKUP($A53,'Página11'!$A$1:$S$27,COLUMN(),TRUE),2)</f>
        <v>28810.18</v>
      </c>
      <c r="F53" s="48">
        <f>ROUND(IF(MONTH($A53)=12,2.333,1)*VLOOKUP($A53,'Página11'!$A$1:$S$27,COLUMN(),TRUE),2)</f>
        <v>27369.67</v>
      </c>
      <c r="G53" s="48">
        <f t="shared" si="3"/>
        <v>22869.9</v>
      </c>
      <c r="H53" s="48">
        <f>ROUND(IF(MONTH($A53)=12,2.333,1)*VLOOKUP($A53,'Página11'!$A$1:$S$27,COLUMN(),TRUE),2)</f>
        <v>18442.77</v>
      </c>
      <c r="I53" s="48">
        <f t="shared" si="4"/>
        <v>19515.54</v>
      </c>
      <c r="J53" s="48">
        <f>ROUND(IF(MONTH($A53)=12,2.333,1)*VLOOKUP($A53,'Página11'!$A$1:$S$27,COLUMN(),TRUE),2)</f>
        <v>18442.77</v>
      </c>
      <c r="K53" s="48">
        <f>ROUND(IF(MONTH($A53)=12,2.333,1)*VLOOKUP($A53,'Página11'!$A$1:$S$27,COLUMN(),TRUE),2)</f>
        <v>17596.83</v>
      </c>
      <c r="L53" s="48">
        <f>VLOOKUP($A53,'Página11'!$A$1:$S$27,COLUMN(),TRUE)</f>
        <v>27303.7</v>
      </c>
      <c r="M53" s="48">
        <f>VLOOKUP($A53,'Página11'!$A$1:$S$27,COLUMN(),TRUE)</f>
        <v>8140.7</v>
      </c>
      <c r="N53" s="48">
        <f>VLOOKUP($A53,'Página11'!$A$1:$S$27,COLUMN(),TRUE)</f>
        <v>27303.62</v>
      </c>
      <c r="O53" s="48">
        <f>VLOOKUP($A53,'Página11'!$A$1:$S$27,COLUMN(),TRUE)</f>
        <v>3000</v>
      </c>
      <c r="P53" s="48">
        <f>VLOOKUP($A53,'Página11'!$A$1:$S$27,COLUMN(),TRUE)</f>
        <v>17558.0915</v>
      </c>
      <c r="Q53" s="48">
        <f>VLOOKUP($A53,'Página11'!$A$1:$S$27,COLUMN(),TRUE)</f>
        <v>5902.0075</v>
      </c>
      <c r="R53" s="48">
        <f>VLOOKUP($A53,'Página11'!$A$1:$S$27,COLUMN(),TRUE)</f>
        <v>17558.04075</v>
      </c>
      <c r="S53" s="48">
        <f>VLOOKUP($A53,'Página11'!$A$1:$S$27,COLUMN(),TRUE)</f>
        <v>2175</v>
      </c>
      <c r="T53" s="73">
        <f t="shared" si="5"/>
        <v>2020</v>
      </c>
      <c r="U53" s="73">
        <f t="shared" si="6"/>
        <v>4</v>
      </c>
    </row>
    <row r="54">
      <c r="A54" s="34">
        <v>43952.0</v>
      </c>
      <c r="B54" s="48">
        <f t="shared" si="1"/>
        <v>34630.33</v>
      </c>
      <c r="C54" s="48">
        <f>ROUND(IF(MONTH($A54)=12,2.333,1)*VLOOKUP($A54,'Página11'!$A$1:$S$27,COLUMN(),TRUE),2)</f>
        <v>28810.18</v>
      </c>
      <c r="D54" s="48">
        <f t="shared" si="2"/>
        <v>30003.62</v>
      </c>
      <c r="E54" s="48">
        <f>ROUND(IF(MONTH($A54)=12,2.333,1)*VLOOKUP($A54,'Página11'!$A$1:$S$27,COLUMN(),TRUE),2)</f>
        <v>28810.18</v>
      </c>
      <c r="F54" s="48">
        <f>ROUND(IF(MONTH($A54)=12,2.333,1)*VLOOKUP($A54,'Página11'!$A$1:$S$27,COLUMN(),TRUE),2)</f>
        <v>27369.67</v>
      </c>
      <c r="G54" s="48">
        <f t="shared" si="3"/>
        <v>22869.9</v>
      </c>
      <c r="H54" s="48">
        <f>ROUND(IF(MONTH($A54)=12,2.333,1)*VLOOKUP($A54,'Página11'!$A$1:$S$27,COLUMN(),TRUE),2)</f>
        <v>18442.77</v>
      </c>
      <c r="I54" s="48">
        <f t="shared" si="4"/>
        <v>19515.54</v>
      </c>
      <c r="J54" s="48">
        <f>ROUND(IF(MONTH($A54)=12,2.333,1)*VLOOKUP($A54,'Página11'!$A$1:$S$27,COLUMN(),TRUE),2)</f>
        <v>18442.77</v>
      </c>
      <c r="K54" s="48">
        <f>ROUND(IF(MONTH($A54)=12,2.333,1)*VLOOKUP($A54,'Página11'!$A$1:$S$27,COLUMN(),TRUE),2)</f>
        <v>17596.83</v>
      </c>
      <c r="L54" s="48">
        <f>VLOOKUP($A54,'Página11'!$A$1:$S$27,COLUMN(),TRUE)</f>
        <v>27303.7</v>
      </c>
      <c r="M54" s="48">
        <f>VLOOKUP($A54,'Página11'!$A$1:$S$27,COLUMN(),TRUE)</f>
        <v>8140.7</v>
      </c>
      <c r="N54" s="48">
        <f>VLOOKUP($A54,'Página11'!$A$1:$S$27,COLUMN(),TRUE)</f>
        <v>27303.62</v>
      </c>
      <c r="O54" s="48">
        <f>VLOOKUP($A54,'Página11'!$A$1:$S$27,COLUMN(),TRUE)</f>
        <v>3000</v>
      </c>
      <c r="P54" s="48">
        <f>VLOOKUP($A54,'Página11'!$A$1:$S$27,COLUMN(),TRUE)</f>
        <v>17558.0915</v>
      </c>
      <c r="Q54" s="48">
        <f>VLOOKUP($A54,'Página11'!$A$1:$S$27,COLUMN(),TRUE)</f>
        <v>5902.0075</v>
      </c>
      <c r="R54" s="48">
        <f>VLOOKUP($A54,'Página11'!$A$1:$S$27,COLUMN(),TRUE)</f>
        <v>17558.04075</v>
      </c>
      <c r="S54" s="48">
        <f>VLOOKUP($A54,'Página11'!$A$1:$S$27,COLUMN(),TRUE)</f>
        <v>2175</v>
      </c>
      <c r="T54" s="73">
        <f t="shared" si="5"/>
        <v>2020</v>
      </c>
      <c r="U54" s="73">
        <f t="shared" si="6"/>
        <v>5</v>
      </c>
    </row>
    <row r="55">
      <c r="A55" s="34">
        <v>43983.0</v>
      </c>
      <c r="B55" s="48">
        <f t="shared" si="1"/>
        <v>34630.33</v>
      </c>
      <c r="C55" s="48">
        <f>ROUND(IF(MONTH($A55)=12,2.333,1)*VLOOKUP($A55,'Página11'!$A$1:$S$27,COLUMN(),TRUE),2)</f>
        <v>28810.18</v>
      </c>
      <c r="D55" s="48">
        <f t="shared" si="2"/>
        <v>30003.62</v>
      </c>
      <c r="E55" s="48">
        <f>ROUND(IF(MONTH($A55)=12,2.333,1)*VLOOKUP($A55,'Página11'!$A$1:$S$27,COLUMN(),TRUE),2)</f>
        <v>28810.18</v>
      </c>
      <c r="F55" s="48">
        <f>ROUND(IF(MONTH($A55)=12,2.333,1)*VLOOKUP($A55,'Página11'!$A$1:$S$27,COLUMN(),TRUE),2)</f>
        <v>27369.67</v>
      </c>
      <c r="G55" s="48">
        <f t="shared" si="3"/>
        <v>22869.9</v>
      </c>
      <c r="H55" s="48">
        <f>ROUND(IF(MONTH($A55)=12,2.333,1)*VLOOKUP($A55,'Página11'!$A$1:$S$27,COLUMN(),TRUE),2)</f>
        <v>18442.77</v>
      </c>
      <c r="I55" s="48">
        <f t="shared" si="4"/>
        <v>19515.54</v>
      </c>
      <c r="J55" s="48">
        <f>ROUND(IF(MONTH($A55)=12,2.333,1)*VLOOKUP($A55,'Página11'!$A$1:$S$27,COLUMN(),TRUE),2)</f>
        <v>18442.77</v>
      </c>
      <c r="K55" s="48">
        <f>ROUND(IF(MONTH($A55)=12,2.333,1)*VLOOKUP($A55,'Página11'!$A$1:$S$27,COLUMN(),TRUE),2)</f>
        <v>17596.83</v>
      </c>
      <c r="L55" s="48">
        <f>VLOOKUP($A55,'Página11'!$A$1:$S$27,COLUMN(),TRUE)</f>
        <v>27303.7</v>
      </c>
      <c r="M55" s="48">
        <f>VLOOKUP($A55,'Página11'!$A$1:$S$27,COLUMN(),TRUE)</f>
        <v>8140.7</v>
      </c>
      <c r="N55" s="48">
        <f>VLOOKUP($A55,'Página11'!$A$1:$S$27,COLUMN(),TRUE)</f>
        <v>27303.62</v>
      </c>
      <c r="O55" s="48">
        <f>VLOOKUP($A55,'Página11'!$A$1:$S$27,COLUMN(),TRUE)</f>
        <v>3000</v>
      </c>
      <c r="P55" s="48">
        <f>VLOOKUP($A55,'Página11'!$A$1:$S$27,COLUMN(),TRUE)</f>
        <v>17558.0915</v>
      </c>
      <c r="Q55" s="48">
        <f>VLOOKUP($A55,'Página11'!$A$1:$S$27,COLUMN(),TRUE)</f>
        <v>5902.0075</v>
      </c>
      <c r="R55" s="48">
        <f>VLOOKUP($A55,'Página11'!$A$1:$S$27,COLUMN(),TRUE)</f>
        <v>17558.04075</v>
      </c>
      <c r="S55" s="48">
        <f>VLOOKUP($A55,'Página11'!$A$1:$S$27,COLUMN(),TRUE)</f>
        <v>2175</v>
      </c>
      <c r="T55" s="73">
        <f t="shared" si="5"/>
        <v>2020</v>
      </c>
      <c r="U55" s="73">
        <f t="shared" si="6"/>
        <v>6</v>
      </c>
    </row>
    <row r="56">
      <c r="A56" s="34">
        <v>44013.0</v>
      </c>
      <c r="B56" s="48">
        <f t="shared" si="1"/>
        <v>34630.33</v>
      </c>
      <c r="C56" s="48">
        <f>ROUND(IF(MONTH($A56)=12,2.333,1)*VLOOKUP($A56,'Página11'!$A$1:$S$27,COLUMN(),TRUE),2)</f>
        <v>28810.18</v>
      </c>
      <c r="D56" s="48">
        <f t="shared" si="2"/>
        <v>30003.62</v>
      </c>
      <c r="E56" s="48">
        <f>ROUND(IF(MONTH($A56)=12,2.333,1)*VLOOKUP($A56,'Página11'!$A$1:$S$27,COLUMN(),TRUE),2)</f>
        <v>28810.18</v>
      </c>
      <c r="F56" s="48">
        <f>ROUND(IF(MONTH($A56)=12,2.333,1)*VLOOKUP($A56,'Página11'!$A$1:$S$27,COLUMN(),TRUE),2)</f>
        <v>27369.67</v>
      </c>
      <c r="G56" s="48">
        <f t="shared" si="3"/>
        <v>22869.9</v>
      </c>
      <c r="H56" s="48">
        <f>ROUND(IF(MONTH($A56)=12,2.333,1)*VLOOKUP($A56,'Página11'!$A$1:$S$27,COLUMN(),TRUE),2)</f>
        <v>18442.77</v>
      </c>
      <c r="I56" s="48">
        <f t="shared" si="4"/>
        <v>19515.54</v>
      </c>
      <c r="J56" s="48">
        <f>ROUND(IF(MONTH($A56)=12,2.333,1)*VLOOKUP($A56,'Página11'!$A$1:$S$27,COLUMN(),TRUE),2)</f>
        <v>18442.77</v>
      </c>
      <c r="K56" s="48">
        <f>ROUND(IF(MONTH($A56)=12,2.333,1)*VLOOKUP($A56,'Página11'!$A$1:$S$27,COLUMN(),TRUE),2)</f>
        <v>17596.83</v>
      </c>
      <c r="L56" s="48">
        <f>VLOOKUP($A56,'Página11'!$A$1:$S$27,COLUMN(),TRUE)</f>
        <v>27303.7</v>
      </c>
      <c r="M56" s="48">
        <f>VLOOKUP($A56,'Página11'!$A$1:$S$27,COLUMN(),TRUE)</f>
        <v>8140.7</v>
      </c>
      <c r="N56" s="48">
        <f>VLOOKUP($A56,'Página11'!$A$1:$S$27,COLUMN(),TRUE)</f>
        <v>27303.62</v>
      </c>
      <c r="O56" s="48">
        <f>VLOOKUP($A56,'Página11'!$A$1:$S$27,COLUMN(),TRUE)</f>
        <v>3000</v>
      </c>
      <c r="P56" s="48">
        <f>VLOOKUP($A56,'Página11'!$A$1:$S$27,COLUMN(),TRUE)</f>
        <v>17558.0915</v>
      </c>
      <c r="Q56" s="48">
        <f>VLOOKUP($A56,'Página11'!$A$1:$S$27,COLUMN(),TRUE)</f>
        <v>5902.0075</v>
      </c>
      <c r="R56" s="48">
        <f>VLOOKUP($A56,'Página11'!$A$1:$S$27,COLUMN(),TRUE)</f>
        <v>17558.04075</v>
      </c>
      <c r="S56" s="48">
        <f>VLOOKUP($A56,'Página11'!$A$1:$S$27,COLUMN(),TRUE)</f>
        <v>2175</v>
      </c>
      <c r="T56" s="73">
        <f t="shared" si="5"/>
        <v>2020</v>
      </c>
      <c r="U56" s="73">
        <f t="shared" si="6"/>
        <v>7</v>
      </c>
    </row>
    <row r="57">
      <c r="A57" s="34">
        <v>44044.0</v>
      </c>
      <c r="B57" s="48">
        <f t="shared" si="1"/>
        <v>34630.33</v>
      </c>
      <c r="C57" s="48">
        <f>ROUND(IF(MONTH($A57)=12,2.333,1)*VLOOKUP($A57,'Página11'!$A$1:$S$27,COLUMN(),TRUE),2)</f>
        <v>28810.18</v>
      </c>
      <c r="D57" s="48">
        <f t="shared" si="2"/>
        <v>30003.62</v>
      </c>
      <c r="E57" s="48">
        <f>ROUND(IF(MONTH($A57)=12,2.333,1)*VLOOKUP($A57,'Página11'!$A$1:$S$27,COLUMN(),TRUE),2)</f>
        <v>28810.18</v>
      </c>
      <c r="F57" s="48">
        <f>ROUND(IF(MONTH($A57)=12,2.333,1)*VLOOKUP($A57,'Página11'!$A$1:$S$27,COLUMN(),TRUE),2)</f>
        <v>27369.67</v>
      </c>
      <c r="G57" s="48">
        <f t="shared" si="3"/>
        <v>22869.9</v>
      </c>
      <c r="H57" s="48">
        <f>ROUND(IF(MONTH($A57)=12,2.333,1)*VLOOKUP($A57,'Página11'!$A$1:$S$27,COLUMN(),TRUE),2)</f>
        <v>18442.77</v>
      </c>
      <c r="I57" s="48">
        <f t="shared" si="4"/>
        <v>19515.54</v>
      </c>
      <c r="J57" s="48">
        <f>ROUND(IF(MONTH($A57)=12,2.333,1)*VLOOKUP($A57,'Página11'!$A$1:$S$27,COLUMN(),TRUE),2)</f>
        <v>18442.77</v>
      </c>
      <c r="K57" s="48">
        <f>ROUND(IF(MONTH($A57)=12,2.333,1)*VLOOKUP($A57,'Página11'!$A$1:$S$27,COLUMN(),TRUE),2)</f>
        <v>17596.83</v>
      </c>
      <c r="L57" s="48">
        <f>VLOOKUP($A57,'Página11'!$A$1:$S$27,COLUMN(),TRUE)</f>
        <v>27303.7</v>
      </c>
      <c r="M57" s="48">
        <f>VLOOKUP($A57,'Página11'!$A$1:$S$27,COLUMN(),TRUE)</f>
        <v>8140.7</v>
      </c>
      <c r="N57" s="48">
        <f>VLOOKUP($A57,'Página11'!$A$1:$S$27,COLUMN(),TRUE)</f>
        <v>27303.62</v>
      </c>
      <c r="O57" s="48">
        <f>VLOOKUP($A57,'Página11'!$A$1:$S$27,COLUMN(),TRUE)</f>
        <v>3000</v>
      </c>
      <c r="P57" s="48">
        <f>VLOOKUP($A57,'Página11'!$A$1:$S$27,COLUMN(),TRUE)</f>
        <v>17558.0915</v>
      </c>
      <c r="Q57" s="48">
        <f>VLOOKUP($A57,'Página11'!$A$1:$S$27,COLUMN(),TRUE)</f>
        <v>5902.0075</v>
      </c>
      <c r="R57" s="48">
        <f>VLOOKUP($A57,'Página11'!$A$1:$S$27,COLUMN(),TRUE)</f>
        <v>17558.04075</v>
      </c>
      <c r="S57" s="48">
        <f>VLOOKUP($A57,'Página11'!$A$1:$S$27,COLUMN(),TRUE)</f>
        <v>2175</v>
      </c>
      <c r="T57" s="73">
        <f t="shared" si="5"/>
        <v>2020</v>
      </c>
      <c r="U57" s="73">
        <f t="shared" si="6"/>
        <v>8</v>
      </c>
    </row>
    <row r="58">
      <c r="A58" s="34">
        <v>44075.0</v>
      </c>
      <c r="B58" s="48">
        <f t="shared" si="1"/>
        <v>34630.33</v>
      </c>
      <c r="C58" s="48">
        <f>ROUND(IF(MONTH($A58)=12,2.333,1)*VLOOKUP($A58,'Página11'!$A$1:$S$27,COLUMN(),TRUE),2)</f>
        <v>28810.18</v>
      </c>
      <c r="D58" s="48">
        <f t="shared" si="2"/>
        <v>30003.62</v>
      </c>
      <c r="E58" s="48">
        <f>ROUND(IF(MONTH($A58)=12,2.333,1)*VLOOKUP($A58,'Página11'!$A$1:$S$27,COLUMN(),TRUE),2)</f>
        <v>28810.18</v>
      </c>
      <c r="F58" s="48">
        <f>ROUND(IF(MONTH($A58)=12,2.333,1)*VLOOKUP($A58,'Página11'!$A$1:$S$27,COLUMN(),TRUE),2)</f>
        <v>27369.67</v>
      </c>
      <c r="G58" s="48">
        <f t="shared" si="3"/>
        <v>22869.9</v>
      </c>
      <c r="H58" s="48">
        <f>ROUND(IF(MONTH($A58)=12,2.333,1)*VLOOKUP($A58,'Página11'!$A$1:$S$27,COLUMN(),TRUE),2)</f>
        <v>18442.77</v>
      </c>
      <c r="I58" s="48">
        <f t="shared" si="4"/>
        <v>19515.54</v>
      </c>
      <c r="J58" s="48">
        <f>ROUND(IF(MONTH($A58)=12,2.333,1)*VLOOKUP($A58,'Página11'!$A$1:$S$27,COLUMN(),TRUE),2)</f>
        <v>18442.77</v>
      </c>
      <c r="K58" s="48">
        <f>ROUND(IF(MONTH($A58)=12,2.333,1)*VLOOKUP($A58,'Página11'!$A$1:$S$27,COLUMN(),TRUE),2)</f>
        <v>17596.83</v>
      </c>
      <c r="L58" s="48">
        <f>VLOOKUP($A58,'Página11'!$A$1:$S$27,COLUMN(),TRUE)</f>
        <v>27303.7</v>
      </c>
      <c r="M58" s="48">
        <f>VLOOKUP($A58,'Página11'!$A$1:$S$27,COLUMN(),TRUE)</f>
        <v>8140.7</v>
      </c>
      <c r="N58" s="48">
        <f>VLOOKUP($A58,'Página11'!$A$1:$S$27,COLUMN(),TRUE)</f>
        <v>27303.62</v>
      </c>
      <c r="O58" s="48">
        <f>VLOOKUP($A58,'Página11'!$A$1:$S$27,COLUMN(),TRUE)</f>
        <v>3000</v>
      </c>
      <c r="P58" s="48">
        <f>VLOOKUP($A58,'Página11'!$A$1:$S$27,COLUMN(),TRUE)</f>
        <v>17558.0915</v>
      </c>
      <c r="Q58" s="48">
        <f>VLOOKUP($A58,'Página11'!$A$1:$S$27,COLUMN(),TRUE)</f>
        <v>5902.0075</v>
      </c>
      <c r="R58" s="48">
        <f>VLOOKUP($A58,'Página11'!$A$1:$S$27,COLUMN(),TRUE)</f>
        <v>17558.04075</v>
      </c>
      <c r="S58" s="48">
        <f>VLOOKUP($A58,'Página11'!$A$1:$S$27,COLUMN(),TRUE)</f>
        <v>2175</v>
      </c>
      <c r="T58" s="73">
        <f t="shared" si="5"/>
        <v>2020</v>
      </c>
      <c r="U58" s="73">
        <f t="shared" si="6"/>
        <v>9</v>
      </c>
    </row>
    <row r="59">
      <c r="A59" s="34">
        <v>44105.0</v>
      </c>
      <c r="B59" s="48">
        <f t="shared" si="1"/>
        <v>34630.33</v>
      </c>
      <c r="C59" s="48">
        <f>ROUND(IF(MONTH($A59)=12,2.333,1)*VLOOKUP($A59,'Página11'!$A$1:$S$27,COLUMN(),TRUE),2)</f>
        <v>28810.18</v>
      </c>
      <c r="D59" s="48">
        <f t="shared" si="2"/>
        <v>30003.62</v>
      </c>
      <c r="E59" s="48">
        <f>ROUND(IF(MONTH($A59)=12,2.333,1)*VLOOKUP($A59,'Página11'!$A$1:$S$27,COLUMN(),TRUE),2)</f>
        <v>28810.18</v>
      </c>
      <c r="F59" s="48">
        <f>ROUND(IF(MONTH($A59)=12,2.333,1)*VLOOKUP($A59,'Página11'!$A$1:$S$27,COLUMN(),TRUE),2)</f>
        <v>27369.67</v>
      </c>
      <c r="G59" s="48">
        <f t="shared" si="3"/>
        <v>22869.9</v>
      </c>
      <c r="H59" s="48">
        <f>ROUND(IF(MONTH($A59)=12,2.333,1)*VLOOKUP($A59,'Página11'!$A$1:$S$27,COLUMN(),TRUE),2)</f>
        <v>18442.77</v>
      </c>
      <c r="I59" s="48">
        <f t="shared" si="4"/>
        <v>19515.54</v>
      </c>
      <c r="J59" s="48">
        <f>ROUND(IF(MONTH($A59)=12,2.333,1)*VLOOKUP($A59,'Página11'!$A$1:$S$27,COLUMN(),TRUE),2)</f>
        <v>18442.77</v>
      </c>
      <c r="K59" s="48">
        <f>ROUND(IF(MONTH($A59)=12,2.333,1)*VLOOKUP($A59,'Página11'!$A$1:$S$27,COLUMN(),TRUE),2)</f>
        <v>17596.83</v>
      </c>
      <c r="L59" s="48">
        <f>VLOOKUP($A59,'Página11'!$A$1:$S$27,COLUMN(),TRUE)</f>
        <v>27303.7</v>
      </c>
      <c r="M59" s="48">
        <f>VLOOKUP($A59,'Página11'!$A$1:$S$27,COLUMN(),TRUE)</f>
        <v>8140.7</v>
      </c>
      <c r="N59" s="48">
        <f>VLOOKUP($A59,'Página11'!$A$1:$S$27,COLUMN(),TRUE)</f>
        <v>27303.62</v>
      </c>
      <c r="O59" s="48">
        <f>VLOOKUP($A59,'Página11'!$A$1:$S$27,COLUMN(),TRUE)</f>
        <v>3000</v>
      </c>
      <c r="P59" s="48">
        <f>VLOOKUP($A59,'Página11'!$A$1:$S$27,COLUMN(),TRUE)</f>
        <v>17558.0915</v>
      </c>
      <c r="Q59" s="48">
        <f>VLOOKUP($A59,'Página11'!$A$1:$S$27,COLUMN(),TRUE)</f>
        <v>5902.0075</v>
      </c>
      <c r="R59" s="48">
        <f>VLOOKUP($A59,'Página11'!$A$1:$S$27,COLUMN(),TRUE)</f>
        <v>17558.04075</v>
      </c>
      <c r="S59" s="48">
        <f>VLOOKUP($A59,'Página11'!$A$1:$S$27,COLUMN(),TRUE)</f>
        <v>2175</v>
      </c>
      <c r="T59" s="73">
        <f t="shared" si="5"/>
        <v>2020</v>
      </c>
      <c r="U59" s="73">
        <f t="shared" si="6"/>
        <v>10</v>
      </c>
    </row>
    <row r="60">
      <c r="A60" s="34">
        <v>44136.0</v>
      </c>
      <c r="B60" s="48">
        <f t="shared" si="1"/>
        <v>34630.33</v>
      </c>
      <c r="C60" s="48">
        <f>ROUND(IF(MONTH($A60)=12,2.333,1)*VLOOKUP($A60,'Página11'!$A$1:$S$27,COLUMN(),TRUE),2)</f>
        <v>28810.18</v>
      </c>
      <c r="D60" s="48">
        <f t="shared" si="2"/>
        <v>30003.62</v>
      </c>
      <c r="E60" s="48">
        <f>ROUND(IF(MONTH($A60)=12,2.333,1)*VLOOKUP($A60,'Página11'!$A$1:$S$27,COLUMN(),TRUE),2)</f>
        <v>28810.18</v>
      </c>
      <c r="F60" s="48">
        <f>ROUND(IF(MONTH($A60)=12,2.333,1)*VLOOKUP($A60,'Página11'!$A$1:$S$27,COLUMN(),TRUE),2)</f>
        <v>27369.67</v>
      </c>
      <c r="G60" s="48">
        <f t="shared" si="3"/>
        <v>22869.9</v>
      </c>
      <c r="H60" s="48">
        <f>ROUND(IF(MONTH($A60)=12,2.333,1)*VLOOKUP($A60,'Página11'!$A$1:$S$27,COLUMN(),TRUE),2)</f>
        <v>18442.77</v>
      </c>
      <c r="I60" s="48">
        <f t="shared" si="4"/>
        <v>19515.54</v>
      </c>
      <c r="J60" s="48">
        <f>ROUND(IF(MONTH($A60)=12,2.333,1)*VLOOKUP($A60,'Página11'!$A$1:$S$27,COLUMN(),TRUE),2)</f>
        <v>18442.77</v>
      </c>
      <c r="K60" s="48">
        <f>ROUND(IF(MONTH($A60)=12,2.333,1)*VLOOKUP($A60,'Página11'!$A$1:$S$27,COLUMN(),TRUE),2)</f>
        <v>17596.83</v>
      </c>
      <c r="L60" s="48">
        <f>VLOOKUP($A60,'Página11'!$A$1:$S$27,COLUMN(),TRUE)</f>
        <v>27303.7</v>
      </c>
      <c r="M60" s="48">
        <f>VLOOKUP($A60,'Página11'!$A$1:$S$27,COLUMN(),TRUE)</f>
        <v>8140.7</v>
      </c>
      <c r="N60" s="48">
        <f>VLOOKUP($A60,'Página11'!$A$1:$S$27,COLUMN(),TRUE)</f>
        <v>27303.62</v>
      </c>
      <c r="O60" s="48">
        <f>VLOOKUP($A60,'Página11'!$A$1:$S$27,COLUMN(),TRUE)</f>
        <v>3000</v>
      </c>
      <c r="P60" s="48">
        <f>VLOOKUP($A60,'Página11'!$A$1:$S$27,COLUMN(),TRUE)</f>
        <v>17558.0915</v>
      </c>
      <c r="Q60" s="48">
        <f>VLOOKUP($A60,'Página11'!$A$1:$S$27,COLUMN(),TRUE)</f>
        <v>5902.0075</v>
      </c>
      <c r="R60" s="48">
        <f>VLOOKUP($A60,'Página11'!$A$1:$S$27,COLUMN(),TRUE)</f>
        <v>17558.04075</v>
      </c>
      <c r="S60" s="48">
        <f>VLOOKUP($A60,'Página11'!$A$1:$S$27,COLUMN(),TRUE)</f>
        <v>2175</v>
      </c>
      <c r="T60" s="73">
        <f t="shared" si="5"/>
        <v>2020</v>
      </c>
      <c r="U60" s="73">
        <f t="shared" si="6"/>
        <v>11</v>
      </c>
    </row>
    <row r="61">
      <c r="A61" s="34">
        <v>44166.0</v>
      </c>
      <c r="B61" s="48">
        <f t="shared" si="1"/>
        <v>80792.56</v>
      </c>
      <c r="C61" s="48">
        <f>ROUND(IF(MONTH($A61)=12,2.333,1)*VLOOKUP($A61,'Página11'!$A$1:$S$27,COLUMN(),TRUE),2)</f>
        <v>67214.15</v>
      </c>
      <c r="D61" s="48">
        <f t="shared" si="2"/>
        <v>69998.45</v>
      </c>
      <c r="E61" s="48">
        <f>ROUND(IF(MONTH($A61)=12,2.333,1)*VLOOKUP($A61,'Página11'!$A$1:$S$27,COLUMN(),TRUE),2)</f>
        <v>67214.15</v>
      </c>
      <c r="F61" s="48">
        <f>ROUND(IF(MONTH($A61)=12,2.333,1)*VLOOKUP($A61,'Página11'!$A$1:$S$27,COLUMN(),TRUE),2)</f>
        <v>63853.44</v>
      </c>
      <c r="G61" s="48">
        <f t="shared" si="3"/>
        <v>53355.48</v>
      </c>
      <c r="H61" s="48">
        <f>ROUND(IF(MONTH($A61)=12,2.333,1)*VLOOKUP($A61,'Página11'!$A$1:$S$27,COLUMN(),TRUE),2)</f>
        <v>43026.99</v>
      </c>
      <c r="I61" s="48">
        <f t="shared" si="4"/>
        <v>45529.76</v>
      </c>
      <c r="J61" s="48">
        <f>ROUND(IF(MONTH($A61)=12,2.333,1)*VLOOKUP($A61,'Página11'!$A$1:$S$27,COLUMN(),TRUE),2)</f>
        <v>43026.99</v>
      </c>
      <c r="K61" s="48">
        <f>ROUND(IF(MONTH($A61)=12,2.333,1)*VLOOKUP($A61,'Página11'!$A$1:$S$27,COLUMN(),TRUE),2)</f>
        <v>41053.4</v>
      </c>
      <c r="L61" s="48">
        <f>VLOOKUP($A61,'Página11'!$A$1:$S$27,COLUMN(),TRUE)</f>
        <v>27303.7</v>
      </c>
      <c r="M61" s="48">
        <f>VLOOKUP($A61,'Página11'!$A$1:$S$27,COLUMN(),TRUE)</f>
        <v>8140.7</v>
      </c>
      <c r="N61" s="48">
        <f>VLOOKUP($A61,'Página11'!$A$1:$S$27,COLUMN(),TRUE)</f>
        <v>27303.62</v>
      </c>
      <c r="O61" s="48">
        <f>VLOOKUP($A61,'Página11'!$A$1:$S$27,COLUMN(),TRUE)</f>
        <v>3000</v>
      </c>
      <c r="P61" s="48">
        <f>VLOOKUP($A61,'Página11'!$A$1:$S$27,COLUMN(),TRUE)</f>
        <v>17558.0915</v>
      </c>
      <c r="Q61" s="48">
        <f>VLOOKUP($A61,'Página11'!$A$1:$S$27,COLUMN(),TRUE)</f>
        <v>5902.0075</v>
      </c>
      <c r="R61" s="48">
        <f>VLOOKUP($A61,'Página11'!$A$1:$S$27,COLUMN(),TRUE)</f>
        <v>17558.04075</v>
      </c>
      <c r="S61" s="48">
        <f>VLOOKUP($A61,'Página11'!$A$1:$S$27,COLUMN(),TRUE)</f>
        <v>2175</v>
      </c>
      <c r="T61" s="73">
        <f t="shared" si="5"/>
        <v>2020</v>
      </c>
      <c r="U61" s="73">
        <f t="shared" si="6"/>
        <v>12</v>
      </c>
    </row>
    <row r="62">
      <c r="A62" s="34">
        <v>44197.0</v>
      </c>
      <c r="B62" s="48">
        <f t="shared" si="1"/>
        <v>35938.48</v>
      </c>
      <c r="C62" s="48">
        <f>ROUND(IF(MONTH($A62)=12,2.333,1)*VLOOKUP($A62,'Página11'!$A$1:$S$27,COLUMN(),TRUE),2)</f>
        <v>28810.18</v>
      </c>
      <c r="D62" s="48">
        <f t="shared" si="2"/>
        <v>30003.62</v>
      </c>
      <c r="E62" s="48">
        <f>ROUND(IF(MONTH($A62)=12,2.333,1)*VLOOKUP($A62,'Página11'!$A$1:$S$27,COLUMN(),TRUE),2)</f>
        <v>28810.18</v>
      </c>
      <c r="F62" s="48">
        <f>ROUND(IF(MONTH($A62)=12,2.333,1)*VLOOKUP($A62,'Página11'!$A$1:$S$27,COLUMN(),TRUE),2)</f>
        <v>27369.67</v>
      </c>
      <c r="G62" s="48">
        <f t="shared" si="3"/>
        <v>23853.95</v>
      </c>
      <c r="H62" s="48">
        <f>ROUND(IF(MONTH($A62)=12,2.333,1)*VLOOKUP($A62,'Página11'!$A$1:$S$27,COLUMN(),TRUE),2)</f>
        <v>18478.41</v>
      </c>
      <c r="I62" s="48">
        <f t="shared" si="4"/>
        <v>19551.18</v>
      </c>
      <c r="J62" s="48">
        <f>ROUND(IF(MONTH($A62)=12,2.333,1)*VLOOKUP($A62,'Página11'!$A$1:$S$27,COLUMN(),TRUE),2)</f>
        <v>18478.41</v>
      </c>
      <c r="K62" s="48">
        <f>ROUND(IF(MONTH($A62)=12,2.333,1)*VLOOKUP($A62,'Página11'!$A$1:$S$27,COLUMN(),TRUE),2)</f>
        <v>17632.47</v>
      </c>
      <c r="L62" s="48">
        <f>VLOOKUP($A62,'Página11'!$A$1:$S$27,COLUMN(),TRUE)</f>
        <v>27303.7</v>
      </c>
      <c r="M62" s="48">
        <f>VLOOKUP($A62,'Página11'!$A$1:$S$27,COLUMN(),TRUE)</f>
        <v>9594.2</v>
      </c>
      <c r="N62" s="48">
        <f>VLOOKUP($A62,'Página11'!$A$1:$S$27,COLUMN(),TRUE)</f>
        <v>27303.62</v>
      </c>
      <c r="O62" s="48">
        <f>VLOOKUP($A62,'Página11'!$A$1:$S$27,COLUMN(),TRUE)</f>
        <v>3000</v>
      </c>
      <c r="P62" s="48">
        <f>VLOOKUP($A62,'Página11'!$A$1:$S$27,COLUMN(),TRUE)</f>
        <v>17593.72525</v>
      </c>
      <c r="Q62" s="48">
        <f>VLOOKUP($A62,'Página11'!$A$1:$S$27,COLUMN(),TRUE)</f>
        <v>6955.795</v>
      </c>
      <c r="R62" s="48">
        <f>VLOOKUP($A62,'Página11'!$A$1:$S$27,COLUMN(),TRUE)</f>
        <v>17593.68175</v>
      </c>
      <c r="S62" s="48">
        <f>VLOOKUP($A62,'Página11'!$A$1:$S$27,COLUMN(),TRUE)</f>
        <v>2175</v>
      </c>
      <c r="T62" s="73">
        <f t="shared" si="5"/>
        <v>2021</v>
      </c>
      <c r="U62" s="73">
        <f t="shared" si="6"/>
        <v>1</v>
      </c>
    </row>
    <row r="63">
      <c r="A63" s="34">
        <v>44228.0</v>
      </c>
      <c r="B63" s="48">
        <f t="shared" si="1"/>
        <v>35938.48</v>
      </c>
      <c r="C63" s="48">
        <f>ROUND(IF(MONTH($A63)=12,2.333,1)*VLOOKUP($A63,'Página11'!$A$1:$S$27,COLUMN(),TRUE),2)</f>
        <v>28810.18</v>
      </c>
      <c r="D63" s="48">
        <f t="shared" si="2"/>
        <v>30003.62</v>
      </c>
      <c r="E63" s="48">
        <f>ROUND(IF(MONTH($A63)=12,2.333,1)*VLOOKUP($A63,'Página11'!$A$1:$S$27,COLUMN(),TRUE),2)</f>
        <v>28810.18</v>
      </c>
      <c r="F63" s="48">
        <f>ROUND(IF(MONTH($A63)=12,2.333,1)*VLOOKUP($A63,'Página11'!$A$1:$S$27,COLUMN(),TRUE),2)</f>
        <v>27369.67</v>
      </c>
      <c r="G63" s="48">
        <f t="shared" si="3"/>
        <v>23853.95</v>
      </c>
      <c r="H63" s="48">
        <f>ROUND(IF(MONTH($A63)=12,2.333,1)*VLOOKUP($A63,'Página11'!$A$1:$S$27,COLUMN(),TRUE),2)</f>
        <v>18478.41</v>
      </c>
      <c r="I63" s="48">
        <f t="shared" si="4"/>
        <v>19551.18</v>
      </c>
      <c r="J63" s="48">
        <f>ROUND(IF(MONTH($A63)=12,2.333,1)*VLOOKUP($A63,'Página11'!$A$1:$S$27,COLUMN(),TRUE),2)</f>
        <v>18478.41</v>
      </c>
      <c r="K63" s="48">
        <f>ROUND(IF(MONTH($A63)=12,2.333,1)*VLOOKUP($A63,'Página11'!$A$1:$S$27,COLUMN(),TRUE),2)</f>
        <v>17632.47</v>
      </c>
      <c r="L63" s="48">
        <f>VLOOKUP($A63,'Página11'!$A$1:$S$27,COLUMN(),TRUE)</f>
        <v>27303.7</v>
      </c>
      <c r="M63" s="48">
        <f>VLOOKUP($A63,'Página11'!$A$1:$S$27,COLUMN(),TRUE)</f>
        <v>9594.2</v>
      </c>
      <c r="N63" s="48">
        <f>VLOOKUP($A63,'Página11'!$A$1:$S$27,COLUMN(),TRUE)</f>
        <v>27303.62</v>
      </c>
      <c r="O63" s="48">
        <f>VLOOKUP($A63,'Página11'!$A$1:$S$27,COLUMN(),TRUE)</f>
        <v>3000</v>
      </c>
      <c r="P63" s="48">
        <f>VLOOKUP($A63,'Página11'!$A$1:$S$27,COLUMN(),TRUE)</f>
        <v>17593.72525</v>
      </c>
      <c r="Q63" s="48">
        <f>VLOOKUP($A63,'Página11'!$A$1:$S$27,COLUMN(),TRUE)</f>
        <v>6955.795</v>
      </c>
      <c r="R63" s="48">
        <f>VLOOKUP($A63,'Página11'!$A$1:$S$27,COLUMN(),TRUE)</f>
        <v>17593.68175</v>
      </c>
      <c r="S63" s="48">
        <f>VLOOKUP($A63,'Página11'!$A$1:$S$27,COLUMN(),TRUE)</f>
        <v>2175</v>
      </c>
      <c r="T63" s="73">
        <f t="shared" si="5"/>
        <v>2021</v>
      </c>
      <c r="U63" s="73">
        <f t="shared" si="6"/>
        <v>2</v>
      </c>
    </row>
    <row r="64">
      <c r="A64" s="34">
        <v>44256.0</v>
      </c>
      <c r="B64" s="48">
        <f t="shared" si="1"/>
        <v>35938.48</v>
      </c>
      <c r="C64" s="48">
        <f>ROUND(IF(MONTH($A64)=12,2.333,1)*VLOOKUP($A64,'Página11'!$A$1:$S$27,COLUMN(),TRUE),2)</f>
        <v>28810.18</v>
      </c>
      <c r="D64" s="48">
        <f t="shared" si="2"/>
        <v>30003.62</v>
      </c>
      <c r="E64" s="48">
        <f>ROUND(IF(MONTH($A64)=12,2.333,1)*VLOOKUP($A64,'Página11'!$A$1:$S$27,COLUMN(),TRUE),2)</f>
        <v>28810.18</v>
      </c>
      <c r="F64" s="48">
        <f>ROUND(IF(MONTH($A64)=12,2.333,1)*VLOOKUP($A64,'Página11'!$A$1:$S$27,COLUMN(),TRUE),2)</f>
        <v>27369.67</v>
      </c>
      <c r="G64" s="48">
        <f t="shared" si="3"/>
        <v>23853.95</v>
      </c>
      <c r="H64" s="48">
        <f>ROUND(IF(MONTH($A64)=12,2.333,1)*VLOOKUP($A64,'Página11'!$A$1:$S$27,COLUMN(),TRUE),2)</f>
        <v>18478.41</v>
      </c>
      <c r="I64" s="48">
        <f t="shared" si="4"/>
        <v>19551.18</v>
      </c>
      <c r="J64" s="48">
        <f>ROUND(IF(MONTH($A64)=12,2.333,1)*VLOOKUP($A64,'Página11'!$A$1:$S$27,COLUMN(),TRUE),2)</f>
        <v>18478.41</v>
      </c>
      <c r="K64" s="48">
        <f>ROUND(IF(MONTH($A64)=12,2.333,1)*VLOOKUP($A64,'Página11'!$A$1:$S$27,COLUMN(),TRUE),2)</f>
        <v>17632.47</v>
      </c>
      <c r="L64" s="48">
        <f>VLOOKUP($A64,'Página11'!$A$1:$S$27,COLUMN(),TRUE)</f>
        <v>27303.7</v>
      </c>
      <c r="M64" s="48">
        <f>VLOOKUP($A64,'Página11'!$A$1:$S$27,COLUMN(),TRUE)</f>
        <v>9594.2</v>
      </c>
      <c r="N64" s="48">
        <f>VLOOKUP($A64,'Página11'!$A$1:$S$27,COLUMN(),TRUE)</f>
        <v>27303.62</v>
      </c>
      <c r="O64" s="48">
        <f>VLOOKUP($A64,'Página11'!$A$1:$S$27,COLUMN(),TRUE)</f>
        <v>3000</v>
      </c>
      <c r="P64" s="48">
        <f>VLOOKUP($A64,'Página11'!$A$1:$S$27,COLUMN(),TRUE)</f>
        <v>17593.72525</v>
      </c>
      <c r="Q64" s="48">
        <f>VLOOKUP($A64,'Página11'!$A$1:$S$27,COLUMN(),TRUE)</f>
        <v>6955.795</v>
      </c>
      <c r="R64" s="48">
        <f>VLOOKUP($A64,'Página11'!$A$1:$S$27,COLUMN(),TRUE)</f>
        <v>17593.68175</v>
      </c>
      <c r="S64" s="48">
        <f>VLOOKUP($A64,'Página11'!$A$1:$S$27,COLUMN(),TRUE)</f>
        <v>2175</v>
      </c>
      <c r="T64" s="73">
        <f t="shared" si="5"/>
        <v>2021</v>
      </c>
      <c r="U64" s="73">
        <f t="shared" si="6"/>
        <v>3</v>
      </c>
    </row>
    <row r="65">
      <c r="A65" s="34">
        <v>44287.0</v>
      </c>
      <c r="B65" s="48">
        <f t="shared" si="1"/>
        <v>35938.48</v>
      </c>
      <c r="C65" s="48">
        <f>ROUND(IF(MONTH($A65)=12,2.333,1)*VLOOKUP($A65,'Página11'!$A$1:$S$27,COLUMN(),TRUE),2)</f>
        <v>28810.18</v>
      </c>
      <c r="D65" s="48">
        <f t="shared" si="2"/>
        <v>30003.62</v>
      </c>
      <c r="E65" s="48">
        <f>ROUND(IF(MONTH($A65)=12,2.333,1)*VLOOKUP($A65,'Página11'!$A$1:$S$27,COLUMN(),TRUE),2)</f>
        <v>28810.18</v>
      </c>
      <c r="F65" s="48">
        <f>ROUND(IF(MONTH($A65)=12,2.333,1)*VLOOKUP($A65,'Página11'!$A$1:$S$27,COLUMN(),TRUE),2)</f>
        <v>27369.67</v>
      </c>
      <c r="G65" s="48">
        <f t="shared" si="3"/>
        <v>23853.95</v>
      </c>
      <c r="H65" s="48">
        <f>ROUND(IF(MONTH($A65)=12,2.333,1)*VLOOKUP($A65,'Página11'!$A$1:$S$27,COLUMN(),TRUE),2)</f>
        <v>18478.41</v>
      </c>
      <c r="I65" s="48">
        <f t="shared" si="4"/>
        <v>19551.18</v>
      </c>
      <c r="J65" s="48">
        <f>ROUND(IF(MONTH($A65)=12,2.333,1)*VLOOKUP($A65,'Página11'!$A$1:$S$27,COLUMN(),TRUE),2)</f>
        <v>18478.41</v>
      </c>
      <c r="K65" s="48">
        <f>ROUND(IF(MONTH($A65)=12,2.333,1)*VLOOKUP($A65,'Página11'!$A$1:$S$27,COLUMN(),TRUE),2)</f>
        <v>17632.47</v>
      </c>
      <c r="L65" s="48">
        <f>VLOOKUP($A65,'Página11'!$A$1:$S$27,COLUMN(),TRUE)</f>
        <v>27303.7</v>
      </c>
      <c r="M65" s="48">
        <f>VLOOKUP($A65,'Página11'!$A$1:$S$27,COLUMN(),TRUE)</f>
        <v>9594.2</v>
      </c>
      <c r="N65" s="48">
        <f>VLOOKUP($A65,'Página11'!$A$1:$S$27,COLUMN(),TRUE)</f>
        <v>27303.62</v>
      </c>
      <c r="O65" s="48">
        <f>VLOOKUP($A65,'Página11'!$A$1:$S$27,COLUMN(),TRUE)</f>
        <v>3000</v>
      </c>
      <c r="P65" s="48">
        <f>VLOOKUP($A65,'Página11'!$A$1:$S$27,COLUMN(),TRUE)</f>
        <v>17593.72525</v>
      </c>
      <c r="Q65" s="48">
        <f>VLOOKUP($A65,'Página11'!$A$1:$S$27,COLUMN(),TRUE)</f>
        <v>6955.795</v>
      </c>
      <c r="R65" s="48">
        <f>VLOOKUP($A65,'Página11'!$A$1:$S$27,COLUMN(),TRUE)</f>
        <v>17593.68175</v>
      </c>
      <c r="S65" s="48">
        <f>VLOOKUP($A65,'Página11'!$A$1:$S$27,COLUMN(),TRUE)</f>
        <v>2175</v>
      </c>
      <c r="T65" s="73">
        <f t="shared" si="5"/>
        <v>2021</v>
      </c>
      <c r="U65" s="73">
        <f t="shared" si="6"/>
        <v>4</v>
      </c>
    </row>
    <row r="66">
      <c r="A66" s="34">
        <v>44317.0</v>
      </c>
      <c r="B66" s="48">
        <f t="shared" si="1"/>
        <v>35938.48</v>
      </c>
      <c r="C66" s="48">
        <f>ROUND(IF(MONTH($A66)=12,2.333,1)*VLOOKUP($A66,'Página11'!$A$1:$S$27,COLUMN(),TRUE),2)</f>
        <v>28810.18</v>
      </c>
      <c r="D66" s="48">
        <f t="shared" si="2"/>
        <v>30003.62</v>
      </c>
      <c r="E66" s="48">
        <f>ROUND(IF(MONTH($A66)=12,2.333,1)*VLOOKUP($A66,'Página11'!$A$1:$S$27,COLUMN(),TRUE),2)</f>
        <v>28810.18</v>
      </c>
      <c r="F66" s="48">
        <f>ROUND(IF(MONTH($A66)=12,2.333,1)*VLOOKUP($A66,'Página11'!$A$1:$S$27,COLUMN(),TRUE),2)</f>
        <v>27369.67</v>
      </c>
      <c r="G66" s="48">
        <f t="shared" si="3"/>
        <v>23853.95</v>
      </c>
      <c r="H66" s="48">
        <f>ROUND(IF(MONTH($A66)=12,2.333,1)*VLOOKUP($A66,'Página11'!$A$1:$S$27,COLUMN(),TRUE),2)</f>
        <v>18478.41</v>
      </c>
      <c r="I66" s="48">
        <f t="shared" si="4"/>
        <v>19551.18</v>
      </c>
      <c r="J66" s="48">
        <f>ROUND(IF(MONTH($A66)=12,2.333,1)*VLOOKUP($A66,'Página11'!$A$1:$S$27,COLUMN(),TRUE),2)</f>
        <v>18478.41</v>
      </c>
      <c r="K66" s="48">
        <f>ROUND(IF(MONTH($A66)=12,2.333,1)*VLOOKUP($A66,'Página11'!$A$1:$S$27,COLUMN(),TRUE),2)</f>
        <v>17632.47</v>
      </c>
      <c r="L66" s="48">
        <f>VLOOKUP($A66,'Página11'!$A$1:$S$27,COLUMN(),TRUE)</f>
        <v>27303.7</v>
      </c>
      <c r="M66" s="48">
        <f>VLOOKUP($A66,'Página11'!$A$1:$S$27,COLUMN(),TRUE)</f>
        <v>9594.2</v>
      </c>
      <c r="N66" s="48">
        <f>VLOOKUP($A66,'Página11'!$A$1:$S$27,COLUMN(),TRUE)</f>
        <v>27303.62</v>
      </c>
      <c r="O66" s="48">
        <f>VLOOKUP($A66,'Página11'!$A$1:$S$27,COLUMN(),TRUE)</f>
        <v>3000</v>
      </c>
      <c r="P66" s="48">
        <f>VLOOKUP($A66,'Página11'!$A$1:$S$27,COLUMN(),TRUE)</f>
        <v>17593.72525</v>
      </c>
      <c r="Q66" s="48">
        <f>VLOOKUP($A66,'Página11'!$A$1:$S$27,COLUMN(),TRUE)</f>
        <v>6955.795</v>
      </c>
      <c r="R66" s="48">
        <f>VLOOKUP($A66,'Página11'!$A$1:$S$27,COLUMN(),TRUE)</f>
        <v>17593.68175</v>
      </c>
      <c r="S66" s="48">
        <f>VLOOKUP($A66,'Página11'!$A$1:$S$27,COLUMN(),TRUE)</f>
        <v>2175</v>
      </c>
      <c r="T66" s="73">
        <f t="shared" si="5"/>
        <v>2021</v>
      </c>
      <c r="U66" s="73">
        <f t="shared" si="6"/>
        <v>5</v>
      </c>
    </row>
    <row r="67">
      <c r="A67" s="34">
        <v>44348.0</v>
      </c>
      <c r="B67" s="48">
        <f t="shared" si="1"/>
        <v>35938.48</v>
      </c>
      <c r="C67" s="48">
        <f>ROUND(IF(MONTH($A67)=12,2.333,1)*VLOOKUP($A67,'Página11'!$A$1:$S$27,COLUMN(),TRUE),2)</f>
        <v>28810.18</v>
      </c>
      <c r="D67" s="48">
        <f t="shared" si="2"/>
        <v>30003.62</v>
      </c>
      <c r="E67" s="48">
        <f>ROUND(IF(MONTH($A67)=12,2.333,1)*VLOOKUP($A67,'Página11'!$A$1:$S$27,COLUMN(),TRUE),2)</f>
        <v>28810.18</v>
      </c>
      <c r="F67" s="48">
        <f>ROUND(IF(MONTH($A67)=12,2.333,1)*VLOOKUP($A67,'Página11'!$A$1:$S$27,COLUMN(),TRUE),2)</f>
        <v>27369.67</v>
      </c>
      <c r="G67" s="48">
        <f t="shared" si="3"/>
        <v>23853.95</v>
      </c>
      <c r="H67" s="48">
        <f>ROUND(IF(MONTH($A67)=12,2.333,1)*VLOOKUP($A67,'Página11'!$A$1:$S$27,COLUMN(),TRUE),2)</f>
        <v>18478.41</v>
      </c>
      <c r="I67" s="48">
        <f t="shared" si="4"/>
        <v>19551.18</v>
      </c>
      <c r="J67" s="48">
        <f>ROUND(IF(MONTH($A67)=12,2.333,1)*VLOOKUP($A67,'Página11'!$A$1:$S$27,COLUMN(),TRUE),2)</f>
        <v>18478.41</v>
      </c>
      <c r="K67" s="48">
        <f>ROUND(IF(MONTH($A67)=12,2.333,1)*VLOOKUP($A67,'Página11'!$A$1:$S$27,COLUMN(),TRUE),2)</f>
        <v>17632.47</v>
      </c>
      <c r="L67" s="48">
        <f>VLOOKUP($A67,'Página11'!$A$1:$S$27,COLUMN(),TRUE)</f>
        <v>27303.7</v>
      </c>
      <c r="M67" s="48">
        <f>VLOOKUP($A67,'Página11'!$A$1:$S$27,COLUMN(),TRUE)</f>
        <v>9594.2</v>
      </c>
      <c r="N67" s="48">
        <f>VLOOKUP($A67,'Página11'!$A$1:$S$27,COLUMN(),TRUE)</f>
        <v>27303.62</v>
      </c>
      <c r="O67" s="48">
        <f>VLOOKUP($A67,'Página11'!$A$1:$S$27,COLUMN(),TRUE)</f>
        <v>3000</v>
      </c>
      <c r="P67" s="48">
        <f>VLOOKUP($A67,'Página11'!$A$1:$S$27,COLUMN(),TRUE)</f>
        <v>17593.72525</v>
      </c>
      <c r="Q67" s="48">
        <f>VLOOKUP($A67,'Página11'!$A$1:$S$27,COLUMN(),TRUE)</f>
        <v>6955.795</v>
      </c>
      <c r="R67" s="48">
        <f>VLOOKUP($A67,'Página11'!$A$1:$S$27,COLUMN(),TRUE)</f>
        <v>17593.68175</v>
      </c>
      <c r="S67" s="48">
        <f>VLOOKUP($A67,'Página11'!$A$1:$S$27,COLUMN(),TRUE)</f>
        <v>2175</v>
      </c>
      <c r="T67" s="73">
        <f t="shared" si="5"/>
        <v>2021</v>
      </c>
      <c r="U67" s="73">
        <f t="shared" si="6"/>
        <v>6</v>
      </c>
    </row>
    <row r="68">
      <c r="A68" s="34">
        <v>44378.0</v>
      </c>
      <c r="B68" s="48">
        <f t="shared" si="1"/>
        <v>35938.48</v>
      </c>
      <c r="C68" s="48">
        <f>ROUND(IF(MONTH($A68)=12,2.333,1)*VLOOKUP($A68,'Página11'!$A$1:$S$27,COLUMN(),TRUE),2)</f>
        <v>28810.18</v>
      </c>
      <c r="D68" s="48">
        <f t="shared" si="2"/>
        <v>30003.62</v>
      </c>
      <c r="E68" s="48">
        <f>ROUND(IF(MONTH($A68)=12,2.333,1)*VLOOKUP($A68,'Página11'!$A$1:$S$27,COLUMN(),TRUE),2)</f>
        <v>28810.18</v>
      </c>
      <c r="F68" s="48">
        <f>ROUND(IF(MONTH($A68)=12,2.333,1)*VLOOKUP($A68,'Página11'!$A$1:$S$27,COLUMN(),TRUE),2)</f>
        <v>27369.67</v>
      </c>
      <c r="G68" s="48">
        <f t="shared" si="3"/>
        <v>23853.95</v>
      </c>
      <c r="H68" s="48">
        <f>ROUND(IF(MONTH($A68)=12,2.333,1)*VLOOKUP($A68,'Página11'!$A$1:$S$27,COLUMN(),TRUE),2)</f>
        <v>18478.41</v>
      </c>
      <c r="I68" s="48">
        <f t="shared" si="4"/>
        <v>19551.18</v>
      </c>
      <c r="J68" s="48">
        <f>ROUND(IF(MONTH($A68)=12,2.333,1)*VLOOKUP($A68,'Página11'!$A$1:$S$27,COLUMN(),TRUE),2)</f>
        <v>18478.41</v>
      </c>
      <c r="K68" s="48">
        <f>ROUND(IF(MONTH($A68)=12,2.333,1)*VLOOKUP($A68,'Página11'!$A$1:$S$27,COLUMN(),TRUE),2)</f>
        <v>17632.47</v>
      </c>
      <c r="L68" s="48">
        <f>VLOOKUP($A68,'Página11'!$A$1:$S$27,COLUMN(),TRUE)</f>
        <v>27303.7</v>
      </c>
      <c r="M68" s="48">
        <f>VLOOKUP($A68,'Página11'!$A$1:$S$27,COLUMN(),TRUE)</f>
        <v>9594.2</v>
      </c>
      <c r="N68" s="48">
        <f>VLOOKUP($A68,'Página11'!$A$1:$S$27,COLUMN(),TRUE)</f>
        <v>27303.62</v>
      </c>
      <c r="O68" s="48">
        <f>VLOOKUP($A68,'Página11'!$A$1:$S$27,COLUMN(),TRUE)</f>
        <v>3000</v>
      </c>
      <c r="P68" s="48">
        <f>VLOOKUP($A68,'Página11'!$A$1:$S$27,COLUMN(),TRUE)</f>
        <v>17593.72525</v>
      </c>
      <c r="Q68" s="48">
        <f>VLOOKUP($A68,'Página11'!$A$1:$S$27,COLUMN(),TRUE)</f>
        <v>6955.795</v>
      </c>
      <c r="R68" s="48">
        <f>VLOOKUP($A68,'Página11'!$A$1:$S$27,COLUMN(),TRUE)</f>
        <v>17593.68175</v>
      </c>
      <c r="S68" s="48">
        <f>VLOOKUP($A68,'Página11'!$A$1:$S$27,COLUMN(),TRUE)</f>
        <v>2175</v>
      </c>
      <c r="T68" s="73">
        <f t="shared" si="5"/>
        <v>2021</v>
      </c>
      <c r="U68" s="73">
        <f t="shared" si="6"/>
        <v>7</v>
      </c>
    </row>
    <row r="69">
      <c r="A69" s="34">
        <v>44409.0</v>
      </c>
      <c r="B69" s="48">
        <f t="shared" si="1"/>
        <v>35938.48</v>
      </c>
      <c r="C69" s="48">
        <f>ROUND(IF(MONTH($A69)=12,2.333,1)*VLOOKUP($A69,'Página11'!$A$1:$S$27,COLUMN(),TRUE),2)</f>
        <v>28810.18</v>
      </c>
      <c r="D69" s="48">
        <f t="shared" si="2"/>
        <v>30003.62</v>
      </c>
      <c r="E69" s="48">
        <f>ROUND(IF(MONTH($A69)=12,2.333,1)*VLOOKUP($A69,'Página11'!$A$1:$S$27,COLUMN(),TRUE),2)</f>
        <v>28810.18</v>
      </c>
      <c r="F69" s="48">
        <f>ROUND(IF(MONTH($A69)=12,2.333,1)*VLOOKUP($A69,'Página11'!$A$1:$S$27,COLUMN(),TRUE),2)</f>
        <v>27369.67</v>
      </c>
      <c r="G69" s="48">
        <f t="shared" si="3"/>
        <v>23853.95</v>
      </c>
      <c r="H69" s="48">
        <f>ROUND(IF(MONTH($A69)=12,2.333,1)*VLOOKUP($A69,'Página11'!$A$1:$S$27,COLUMN(),TRUE),2)</f>
        <v>18478.41</v>
      </c>
      <c r="I69" s="48">
        <f t="shared" si="4"/>
        <v>19551.18</v>
      </c>
      <c r="J69" s="48">
        <f>ROUND(IF(MONTH($A69)=12,2.333,1)*VLOOKUP($A69,'Página11'!$A$1:$S$27,COLUMN(),TRUE),2)</f>
        <v>18478.41</v>
      </c>
      <c r="K69" s="48">
        <f>ROUND(IF(MONTH($A69)=12,2.333,1)*VLOOKUP($A69,'Página11'!$A$1:$S$27,COLUMN(),TRUE),2)</f>
        <v>17632.47</v>
      </c>
      <c r="L69" s="48">
        <f>VLOOKUP($A69,'Página11'!$A$1:$S$27,COLUMN(),TRUE)</f>
        <v>27303.7</v>
      </c>
      <c r="M69" s="48">
        <f>VLOOKUP($A69,'Página11'!$A$1:$S$27,COLUMN(),TRUE)</f>
        <v>9594.2</v>
      </c>
      <c r="N69" s="48">
        <f>VLOOKUP($A69,'Página11'!$A$1:$S$27,COLUMN(),TRUE)</f>
        <v>27303.62</v>
      </c>
      <c r="O69" s="48">
        <f>VLOOKUP($A69,'Página11'!$A$1:$S$27,COLUMN(),TRUE)</f>
        <v>3000</v>
      </c>
      <c r="P69" s="48">
        <f>VLOOKUP($A69,'Página11'!$A$1:$S$27,COLUMN(),TRUE)</f>
        <v>17593.72525</v>
      </c>
      <c r="Q69" s="48">
        <f>VLOOKUP($A69,'Página11'!$A$1:$S$27,COLUMN(),TRUE)</f>
        <v>6955.795</v>
      </c>
      <c r="R69" s="48">
        <f>VLOOKUP($A69,'Página11'!$A$1:$S$27,COLUMN(),TRUE)</f>
        <v>17593.68175</v>
      </c>
      <c r="S69" s="48">
        <f>VLOOKUP($A69,'Página11'!$A$1:$S$27,COLUMN(),TRUE)</f>
        <v>2175</v>
      </c>
      <c r="T69" s="73">
        <f t="shared" si="5"/>
        <v>2021</v>
      </c>
      <c r="U69" s="73">
        <f t="shared" si="6"/>
        <v>8</v>
      </c>
    </row>
    <row r="70">
      <c r="A70" s="34">
        <v>44440.0</v>
      </c>
      <c r="B70" s="48">
        <f t="shared" si="1"/>
        <v>35938.48</v>
      </c>
      <c r="C70" s="48">
        <f>ROUND(IF(MONTH($A70)=12,2.333,1)*VLOOKUP($A70,'Página11'!$A$1:$S$27,COLUMN(),TRUE),2)</f>
        <v>28810.18</v>
      </c>
      <c r="D70" s="48">
        <f t="shared" si="2"/>
        <v>30003.62</v>
      </c>
      <c r="E70" s="48">
        <f>ROUND(IF(MONTH($A70)=12,2.333,1)*VLOOKUP($A70,'Página11'!$A$1:$S$27,COLUMN(),TRUE),2)</f>
        <v>28810.18</v>
      </c>
      <c r="F70" s="48">
        <f>ROUND(IF(MONTH($A70)=12,2.333,1)*VLOOKUP($A70,'Página11'!$A$1:$S$27,COLUMN(),TRUE),2)</f>
        <v>27369.67</v>
      </c>
      <c r="G70" s="48">
        <f t="shared" si="3"/>
        <v>23853.95</v>
      </c>
      <c r="H70" s="48">
        <f>ROUND(IF(MONTH($A70)=12,2.333,1)*VLOOKUP($A70,'Página11'!$A$1:$S$27,COLUMN(),TRUE),2)</f>
        <v>18478.41</v>
      </c>
      <c r="I70" s="48">
        <f t="shared" si="4"/>
        <v>19551.18</v>
      </c>
      <c r="J70" s="48">
        <f>ROUND(IF(MONTH($A70)=12,2.333,1)*VLOOKUP($A70,'Página11'!$A$1:$S$27,COLUMN(),TRUE),2)</f>
        <v>18478.41</v>
      </c>
      <c r="K70" s="48">
        <f>ROUND(IF(MONTH($A70)=12,2.333,1)*VLOOKUP($A70,'Página11'!$A$1:$S$27,COLUMN(),TRUE),2)</f>
        <v>17632.47</v>
      </c>
      <c r="L70" s="48">
        <f>VLOOKUP($A70,'Página11'!$A$1:$S$27,COLUMN(),TRUE)</f>
        <v>27303.7</v>
      </c>
      <c r="M70" s="48">
        <f>VLOOKUP($A70,'Página11'!$A$1:$S$27,COLUMN(),TRUE)</f>
        <v>9594.2</v>
      </c>
      <c r="N70" s="48">
        <f>VLOOKUP($A70,'Página11'!$A$1:$S$27,COLUMN(),TRUE)</f>
        <v>27303.62</v>
      </c>
      <c r="O70" s="48">
        <f>VLOOKUP($A70,'Página11'!$A$1:$S$27,COLUMN(),TRUE)</f>
        <v>3000</v>
      </c>
      <c r="P70" s="48">
        <f>VLOOKUP($A70,'Página11'!$A$1:$S$27,COLUMN(),TRUE)</f>
        <v>17593.72525</v>
      </c>
      <c r="Q70" s="48">
        <f>VLOOKUP($A70,'Página11'!$A$1:$S$27,COLUMN(),TRUE)</f>
        <v>6955.795</v>
      </c>
      <c r="R70" s="48">
        <f>VLOOKUP($A70,'Página11'!$A$1:$S$27,COLUMN(),TRUE)</f>
        <v>17593.68175</v>
      </c>
      <c r="S70" s="48">
        <f>VLOOKUP($A70,'Página11'!$A$1:$S$27,COLUMN(),TRUE)</f>
        <v>2175</v>
      </c>
      <c r="T70" s="73">
        <f t="shared" si="5"/>
        <v>2021</v>
      </c>
      <c r="U70" s="73">
        <f t="shared" si="6"/>
        <v>9</v>
      </c>
    </row>
    <row r="71">
      <c r="A71" s="34">
        <v>44470.0</v>
      </c>
      <c r="B71" s="48">
        <f t="shared" si="1"/>
        <v>35938.48</v>
      </c>
      <c r="C71" s="48">
        <f>ROUND(IF(MONTH($A71)=12,2.333,1)*VLOOKUP($A71,'Página11'!$A$1:$S$27,COLUMN(),TRUE),2)</f>
        <v>28810.18</v>
      </c>
      <c r="D71" s="48">
        <f t="shared" si="2"/>
        <v>30003.62</v>
      </c>
      <c r="E71" s="48">
        <f>ROUND(IF(MONTH($A71)=12,2.333,1)*VLOOKUP($A71,'Página11'!$A$1:$S$27,COLUMN(),TRUE),2)</f>
        <v>28810.18</v>
      </c>
      <c r="F71" s="48">
        <f>ROUND(IF(MONTH($A71)=12,2.333,1)*VLOOKUP($A71,'Página11'!$A$1:$S$27,COLUMN(),TRUE),2)</f>
        <v>27369.67</v>
      </c>
      <c r="G71" s="48">
        <f t="shared" si="3"/>
        <v>23853.95</v>
      </c>
      <c r="H71" s="48">
        <f>ROUND(IF(MONTH($A71)=12,2.333,1)*VLOOKUP($A71,'Página11'!$A$1:$S$27,COLUMN(),TRUE),2)</f>
        <v>18478.41</v>
      </c>
      <c r="I71" s="48">
        <f t="shared" si="4"/>
        <v>19551.18</v>
      </c>
      <c r="J71" s="48">
        <f>ROUND(IF(MONTH($A71)=12,2.333,1)*VLOOKUP($A71,'Página11'!$A$1:$S$27,COLUMN(),TRUE),2)</f>
        <v>18478.41</v>
      </c>
      <c r="K71" s="48">
        <f>ROUND(IF(MONTH($A71)=12,2.333,1)*VLOOKUP($A71,'Página11'!$A$1:$S$27,COLUMN(),TRUE),2)</f>
        <v>17632.47</v>
      </c>
      <c r="L71" s="48">
        <f>VLOOKUP($A71,'Página11'!$A$1:$S$27,COLUMN(),TRUE)</f>
        <v>27303.7</v>
      </c>
      <c r="M71" s="48">
        <f>VLOOKUP($A71,'Página11'!$A$1:$S$27,COLUMN(),TRUE)</f>
        <v>9594.2</v>
      </c>
      <c r="N71" s="48">
        <f>VLOOKUP($A71,'Página11'!$A$1:$S$27,COLUMN(),TRUE)</f>
        <v>27303.62</v>
      </c>
      <c r="O71" s="48">
        <f>VLOOKUP($A71,'Página11'!$A$1:$S$27,COLUMN(),TRUE)</f>
        <v>3000</v>
      </c>
      <c r="P71" s="48">
        <f>VLOOKUP($A71,'Página11'!$A$1:$S$27,COLUMN(),TRUE)</f>
        <v>17593.72525</v>
      </c>
      <c r="Q71" s="48">
        <f>VLOOKUP($A71,'Página11'!$A$1:$S$27,COLUMN(),TRUE)</f>
        <v>6955.795</v>
      </c>
      <c r="R71" s="48">
        <f>VLOOKUP($A71,'Página11'!$A$1:$S$27,COLUMN(),TRUE)</f>
        <v>17593.68175</v>
      </c>
      <c r="S71" s="48">
        <f>VLOOKUP($A71,'Página11'!$A$1:$S$27,COLUMN(),TRUE)</f>
        <v>2175</v>
      </c>
      <c r="T71" s="73">
        <f t="shared" si="5"/>
        <v>2021</v>
      </c>
      <c r="U71" s="73">
        <f t="shared" si="6"/>
        <v>10</v>
      </c>
    </row>
    <row r="72">
      <c r="A72" s="34">
        <v>44501.0</v>
      </c>
      <c r="B72" s="48">
        <f t="shared" si="1"/>
        <v>35938.48</v>
      </c>
      <c r="C72" s="48">
        <f>ROUND(IF(MONTH($A72)=12,2.333,1)*VLOOKUP($A72,'Página11'!$A$1:$S$27,COLUMN(),TRUE),2)</f>
        <v>28810.18</v>
      </c>
      <c r="D72" s="48">
        <f t="shared" si="2"/>
        <v>30003.62</v>
      </c>
      <c r="E72" s="48">
        <f>ROUND(IF(MONTH($A72)=12,2.333,1)*VLOOKUP($A72,'Página11'!$A$1:$S$27,COLUMN(),TRUE),2)</f>
        <v>28810.18</v>
      </c>
      <c r="F72" s="48">
        <f>ROUND(IF(MONTH($A72)=12,2.333,1)*VLOOKUP($A72,'Página11'!$A$1:$S$27,COLUMN(),TRUE),2)</f>
        <v>27369.67</v>
      </c>
      <c r="G72" s="48">
        <f t="shared" si="3"/>
        <v>23853.95</v>
      </c>
      <c r="H72" s="48">
        <f>ROUND(IF(MONTH($A72)=12,2.333,1)*VLOOKUP($A72,'Página11'!$A$1:$S$27,COLUMN(),TRUE),2)</f>
        <v>18478.41</v>
      </c>
      <c r="I72" s="48">
        <f t="shared" si="4"/>
        <v>19551.18</v>
      </c>
      <c r="J72" s="48">
        <f>ROUND(IF(MONTH($A72)=12,2.333,1)*VLOOKUP($A72,'Página11'!$A$1:$S$27,COLUMN(),TRUE),2)</f>
        <v>18478.41</v>
      </c>
      <c r="K72" s="48">
        <f>ROUND(IF(MONTH($A72)=12,2.333,1)*VLOOKUP($A72,'Página11'!$A$1:$S$27,COLUMN(),TRUE),2)</f>
        <v>17632.47</v>
      </c>
      <c r="L72" s="48">
        <f>VLOOKUP($A72,'Página11'!$A$1:$S$27,COLUMN(),TRUE)</f>
        <v>27303.7</v>
      </c>
      <c r="M72" s="48">
        <f>VLOOKUP($A72,'Página11'!$A$1:$S$27,COLUMN(),TRUE)</f>
        <v>9594.2</v>
      </c>
      <c r="N72" s="48">
        <f>VLOOKUP($A72,'Página11'!$A$1:$S$27,COLUMN(),TRUE)</f>
        <v>27303.62</v>
      </c>
      <c r="O72" s="48">
        <f>VLOOKUP($A72,'Página11'!$A$1:$S$27,COLUMN(),TRUE)</f>
        <v>3000</v>
      </c>
      <c r="P72" s="48">
        <f>VLOOKUP($A72,'Página11'!$A$1:$S$27,COLUMN(),TRUE)</f>
        <v>17593.72525</v>
      </c>
      <c r="Q72" s="48">
        <f>VLOOKUP($A72,'Página11'!$A$1:$S$27,COLUMN(),TRUE)</f>
        <v>6955.795</v>
      </c>
      <c r="R72" s="48">
        <f>VLOOKUP($A72,'Página11'!$A$1:$S$27,COLUMN(),TRUE)</f>
        <v>17593.68175</v>
      </c>
      <c r="S72" s="48">
        <f>VLOOKUP($A72,'Página11'!$A$1:$S$27,COLUMN(),TRUE)</f>
        <v>2175</v>
      </c>
      <c r="T72" s="73">
        <f t="shared" si="5"/>
        <v>2021</v>
      </c>
      <c r="U72" s="73">
        <f t="shared" si="6"/>
        <v>11</v>
      </c>
    </row>
    <row r="73">
      <c r="A73" s="34">
        <v>44531.0</v>
      </c>
      <c r="B73" s="48">
        <f t="shared" si="1"/>
        <v>83844.47</v>
      </c>
      <c r="C73" s="48">
        <f>ROUND(IF(MONTH($A73)=12,2.333,1)*VLOOKUP($A73,'Página11'!$A$1:$S$27,COLUMN(),TRUE),2)</f>
        <v>67214.15</v>
      </c>
      <c r="D73" s="48">
        <f t="shared" si="2"/>
        <v>69998.45</v>
      </c>
      <c r="E73" s="48">
        <f>ROUND(IF(MONTH($A73)=12,2.333,1)*VLOOKUP($A73,'Página11'!$A$1:$S$27,COLUMN(),TRUE),2)</f>
        <v>67214.15</v>
      </c>
      <c r="F73" s="48">
        <f>ROUND(IF(MONTH($A73)=12,2.333,1)*VLOOKUP($A73,'Página11'!$A$1:$S$27,COLUMN(),TRUE),2)</f>
        <v>63853.44</v>
      </c>
      <c r="G73" s="48">
        <f t="shared" si="3"/>
        <v>55651.25</v>
      </c>
      <c r="H73" s="48">
        <f>ROUND(IF(MONTH($A73)=12,2.333,1)*VLOOKUP($A73,'Página11'!$A$1:$S$27,COLUMN(),TRUE),2)</f>
        <v>43110.12</v>
      </c>
      <c r="I73" s="48">
        <f t="shared" si="4"/>
        <v>45612.91</v>
      </c>
      <c r="J73" s="48">
        <f>ROUND(IF(MONTH($A73)=12,2.333,1)*VLOOKUP($A73,'Página11'!$A$1:$S$27,COLUMN(),TRUE),2)</f>
        <v>43110.12</v>
      </c>
      <c r="K73" s="48">
        <f>ROUND(IF(MONTH($A73)=12,2.333,1)*VLOOKUP($A73,'Página11'!$A$1:$S$27,COLUMN(),TRUE),2)</f>
        <v>41136.55</v>
      </c>
      <c r="L73" s="48">
        <f>VLOOKUP($A73,'Página11'!$A$1:$S$27,COLUMN(),TRUE)</f>
        <v>27303.7</v>
      </c>
      <c r="M73" s="48">
        <f>VLOOKUP($A73,'Página11'!$A$1:$S$27,COLUMN(),TRUE)</f>
        <v>9594.2</v>
      </c>
      <c r="N73" s="48">
        <f>VLOOKUP($A73,'Página11'!$A$1:$S$27,COLUMN(),TRUE)</f>
        <v>27303.62</v>
      </c>
      <c r="O73" s="48">
        <f>VLOOKUP($A73,'Página11'!$A$1:$S$27,COLUMN(),TRUE)</f>
        <v>3000</v>
      </c>
      <c r="P73" s="48">
        <f>VLOOKUP($A73,'Página11'!$A$1:$S$27,COLUMN(),TRUE)</f>
        <v>17593.72525</v>
      </c>
      <c r="Q73" s="48">
        <f>VLOOKUP($A73,'Página11'!$A$1:$S$27,COLUMN(),TRUE)</f>
        <v>6955.795</v>
      </c>
      <c r="R73" s="48">
        <f>VLOOKUP($A73,'Página11'!$A$1:$S$27,COLUMN(),TRUE)</f>
        <v>17593.68175</v>
      </c>
      <c r="S73" s="48">
        <f>VLOOKUP($A73,'Página11'!$A$1:$S$27,COLUMN(),TRUE)</f>
        <v>2175</v>
      </c>
      <c r="T73" s="73">
        <f t="shared" si="5"/>
        <v>2021</v>
      </c>
      <c r="U73" s="73">
        <f t="shared" si="6"/>
        <v>12</v>
      </c>
    </row>
    <row r="74">
      <c r="A74" s="34">
        <v>44562.0</v>
      </c>
      <c r="B74" s="48">
        <f t="shared" ref="B74:B145" si="7">ROUND(IF(MONTH($A74)=12,2.333,1)*(L74+ROUND((M74/13.33333)*13,2)),2)</f>
        <v>38834.65</v>
      </c>
      <c r="C74" s="48">
        <f>ROUND(IF(MONTH($A74)=12,2.333,1)*VLOOKUP($A74,'Página11'!$A$1:$S$27,COLUMN(),TRUE),2)</f>
        <v>28810.18</v>
      </c>
      <c r="D74" s="48">
        <f t="shared" si="2"/>
        <v>30003.62</v>
      </c>
      <c r="E74" s="48">
        <f>ROUND(IF(MONTH($A74)=12,2.333,1)*VLOOKUP($A74,'Página11'!$A$1:$S$27,COLUMN(),TRUE),2)</f>
        <v>28810.18</v>
      </c>
      <c r="F74" s="48">
        <f>ROUND(IF(MONTH($A74)=12,2.333,1)*VLOOKUP($A74,'Página11'!$A$1:$S$27,COLUMN(),TRUE),2)</f>
        <v>27369.67</v>
      </c>
      <c r="G74" s="48">
        <f t="shared" ref="G74:G145" si="8">ROUND(IF(MONTH($A74)=12,2.333,1)*(P74+ROUND((Q74/13.33333)*13,2)),2)</f>
        <v>26023.8</v>
      </c>
      <c r="H74" s="48">
        <f>ROUND(IF(MONTH($A74)=12,2.333,1)*VLOOKUP($A74,'Página11'!$A$1:$S$27,COLUMN(),TRUE),2)</f>
        <v>18548.53</v>
      </c>
      <c r="I74" s="48">
        <f t="shared" si="4"/>
        <v>19621.31</v>
      </c>
      <c r="J74" s="48">
        <f>ROUND(IF(MONTH($A74)=12,2.333,1)*VLOOKUP($A74,'Página11'!$A$1:$S$27,COLUMN(),TRUE),2)</f>
        <v>18548.53</v>
      </c>
      <c r="K74" s="48">
        <f>ROUND(IF(MONTH($A74)=12,2.333,1)*VLOOKUP($A74,'Página11'!$A$1:$S$27,COLUMN(),TRUE),2)</f>
        <v>17702.6</v>
      </c>
      <c r="L74" s="48">
        <f>VLOOKUP($A74,'Página11'!$A$1:$S$27,COLUMN(),TRUE)</f>
        <v>27303.7</v>
      </c>
      <c r="M74" s="48">
        <f>VLOOKUP($A74,'Página11'!$A$1:$S$27,COLUMN(),TRUE)</f>
        <v>11826.61</v>
      </c>
      <c r="N74" s="48">
        <f>VLOOKUP($A74,'Página11'!$A$1:$S$27,COLUMN(),TRUE)</f>
        <v>27303.62</v>
      </c>
      <c r="O74" s="48">
        <f>VLOOKUP($A74,'Página11'!$A$1:$S$27,COLUMN(),TRUE)</f>
        <v>3000</v>
      </c>
      <c r="P74" s="48">
        <f>VLOOKUP($A74,'Página11'!$A$1:$S$27,COLUMN(),TRUE)</f>
        <v>17663.86175</v>
      </c>
      <c r="Q74" s="48">
        <f>VLOOKUP($A74,'Página11'!$A$1:$S$27,COLUMN(),TRUE)</f>
        <v>8574.29225</v>
      </c>
      <c r="R74" s="48">
        <f>VLOOKUP($A74,'Página11'!$A$1:$S$27,COLUMN(),TRUE)</f>
        <v>17663.811</v>
      </c>
      <c r="S74" s="48">
        <f>VLOOKUP($A74,'Página11'!$A$1:$S$27,COLUMN(),TRUE)</f>
        <v>2175</v>
      </c>
      <c r="T74" s="73">
        <f t="shared" si="5"/>
        <v>2022</v>
      </c>
      <c r="U74" s="73">
        <f t="shared" si="6"/>
        <v>1</v>
      </c>
    </row>
    <row r="75">
      <c r="A75" s="34">
        <v>44593.0</v>
      </c>
      <c r="B75" s="48">
        <f t="shared" si="7"/>
        <v>38834.65</v>
      </c>
      <c r="C75" s="48">
        <f>ROUND(IF(MONTH($A75)=12,2.333,1)*VLOOKUP($A75,'Página11'!$A$1:$S$27,COLUMN(),TRUE),2)</f>
        <v>28810.18</v>
      </c>
      <c r="D75" s="48">
        <f t="shared" si="2"/>
        <v>30003.62</v>
      </c>
      <c r="E75" s="48">
        <f>ROUND(IF(MONTH($A75)=12,2.333,1)*VLOOKUP($A75,'Página11'!$A$1:$S$27,COLUMN(),TRUE),2)</f>
        <v>28810.18</v>
      </c>
      <c r="F75" s="48">
        <f>ROUND(IF(MONTH($A75)=12,2.333,1)*VLOOKUP($A75,'Página11'!$A$1:$S$27,COLUMN(),TRUE),2)</f>
        <v>27369.67</v>
      </c>
      <c r="G75" s="48">
        <f t="shared" si="8"/>
        <v>26023.8</v>
      </c>
      <c r="H75" s="48">
        <f>ROUND(IF(MONTH($A75)=12,2.333,1)*VLOOKUP($A75,'Página11'!$A$1:$S$27,COLUMN(),TRUE),2)</f>
        <v>18548.53</v>
      </c>
      <c r="I75" s="48">
        <f t="shared" si="4"/>
        <v>19621.31</v>
      </c>
      <c r="J75" s="48">
        <f>ROUND(IF(MONTH($A75)=12,2.333,1)*VLOOKUP($A75,'Página11'!$A$1:$S$27,COLUMN(),TRUE),2)</f>
        <v>18548.53</v>
      </c>
      <c r="K75" s="48">
        <f>ROUND(IF(MONTH($A75)=12,2.333,1)*VLOOKUP($A75,'Página11'!$A$1:$S$27,COLUMN(),TRUE),2)</f>
        <v>17702.6</v>
      </c>
      <c r="L75" s="48">
        <f>VLOOKUP($A75,'Página11'!$A$1:$S$27,COLUMN(),TRUE)</f>
        <v>27303.7</v>
      </c>
      <c r="M75" s="48">
        <f>VLOOKUP($A75,'Página11'!$A$1:$S$27,COLUMN(),TRUE)</f>
        <v>11826.61</v>
      </c>
      <c r="N75" s="48">
        <f>VLOOKUP($A75,'Página11'!$A$1:$S$27,COLUMN(),TRUE)</f>
        <v>27303.62</v>
      </c>
      <c r="O75" s="48">
        <f>VLOOKUP($A75,'Página11'!$A$1:$S$27,COLUMN(),TRUE)</f>
        <v>3000</v>
      </c>
      <c r="P75" s="48">
        <f>VLOOKUP($A75,'Página11'!$A$1:$S$27,COLUMN(),TRUE)</f>
        <v>17663.86175</v>
      </c>
      <c r="Q75" s="48">
        <f>VLOOKUP($A75,'Página11'!$A$1:$S$27,COLUMN(),TRUE)</f>
        <v>8574.29225</v>
      </c>
      <c r="R75" s="48">
        <f>VLOOKUP($A75,'Página11'!$A$1:$S$27,COLUMN(),TRUE)</f>
        <v>17663.811</v>
      </c>
      <c r="S75" s="48">
        <f>VLOOKUP($A75,'Página11'!$A$1:$S$27,COLUMN(),TRUE)</f>
        <v>2175</v>
      </c>
      <c r="T75" s="73">
        <f t="shared" si="5"/>
        <v>2022</v>
      </c>
      <c r="U75" s="73">
        <f t="shared" si="6"/>
        <v>2</v>
      </c>
    </row>
    <row r="76">
      <c r="A76" s="34">
        <v>44621.0</v>
      </c>
      <c r="B76" s="48">
        <f t="shared" si="7"/>
        <v>38834.65</v>
      </c>
      <c r="C76" s="48">
        <f>ROUND(IF(MONTH($A76)=12,2.333,1)*VLOOKUP($A76,'Página11'!$A$1:$S$27,COLUMN(),TRUE),2)</f>
        <v>28810.18</v>
      </c>
      <c r="D76" s="48">
        <f t="shared" si="2"/>
        <v>30003.62</v>
      </c>
      <c r="E76" s="48">
        <f>ROUND(IF(MONTH($A76)=12,2.333,1)*VLOOKUP($A76,'Página11'!$A$1:$S$27,COLUMN(),TRUE),2)</f>
        <v>28810.18</v>
      </c>
      <c r="F76" s="48">
        <f>ROUND(IF(MONTH($A76)=12,2.333,1)*VLOOKUP($A76,'Página11'!$A$1:$S$27,COLUMN(),TRUE),2)</f>
        <v>27369.67</v>
      </c>
      <c r="G76" s="48">
        <f t="shared" si="8"/>
        <v>26023.8</v>
      </c>
      <c r="H76" s="48">
        <f>ROUND(IF(MONTH($A76)=12,2.333,1)*VLOOKUP($A76,'Página11'!$A$1:$S$27,COLUMN(),TRUE),2)</f>
        <v>18548.53</v>
      </c>
      <c r="I76" s="48">
        <f t="shared" si="4"/>
        <v>19621.31</v>
      </c>
      <c r="J76" s="48">
        <f>ROUND(IF(MONTH($A76)=12,2.333,1)*VLOOKUP($A76,'Página11'!$A$1:$S$27,COLUMN(),TRUE),2)</f>
        <v>18548.53</v>
      </c>
      <c r="K76" s="48">
        <f>ROUND(IF(MONTH($A76)=12,2.333,1)*VLOOKUP($A76,'Página11'!$A$1:$S$27,COLUMN(),TRUE),2)</f>
        <v>17702.6</v>
      </c>
      <c r="L76" s="48">
        <f>VLOOKUP($A76,'Página11'!$A$1:$S$27,COLUMN(),TRUE)</f>
        <v>27303.7</v>
      </c>
      <c r="M76" s="48">
        <f>VLOOKUP($A76,'Página11'!$A$1:$S$27,COLUMN(),TRUE)</f>
        <v>11826.61</v>
      </c>
      <c r="N76" s="48">
        <f>VLOOKUP($A76,'Página11'!$A$1:$S$27,COLUMN(),TRUE)</f>
        <v>27303.62</v>
      </c>
      <c r="O76" s="48">
        <f>VLOOKUP($A76,'Página11'!$A$1:$S$27,COLUMN(),TRUE)</f>
        <v>3000</v>
      </c>
      <c r="P76" s="48">
        <f>VLOOKUP($A76,'Página11'!$A$1:$S$27,COLUMN(),TRUE)</f>
        <v>17663.86175</v>
      </c>
      <c r="Q76" s="48">
        <f>VLOOKUP($A76,'Página11'!$A$1:$S$27,COLUMN(),TRUE)</f>
        <v>8574.29225</v>
      </c>
      <c r="R76" s="48">
        <f>VLOOKUP($A76,'Página11'!$A$1:$S$27,COLUMN(),TRUE)</f>
        <v>17663.811</v>
      </c>
      <c r="S76" s="48">
        <f>VLOOKUP($A76,'Página11'!$A$1:$S$27,COLUMN(),TRUE)</f>
        <v>2175</v>
      </c>
      <c r="T76" s="73">
        <f t="shared" si="5"/>
        <v>2022</v>
      </c>
      <c r="U76" s="73">
        <f t="shared" si="6"/>
        <v>3</v>
      </c>
    </row>
    <row r="77">
      <c r="A77" s="34">
        <v>44652.0</v>
      </c>
      <c r="B77" s="48">
        <f t="shared" si="7"/>
        <v>38834.65</v>
      </c>
      <c r="C77" s="48">
        <f>ROUND(IF(MONTH($A77)=12,2.333,1)*VLOOKUP($A77,'Página11'!$A$1:$S$27,COLUMN(),TRUE),2)</f>
        <v>28810.18</v>
      </c>
      <c r="D77" s="48">
        <f t="shared" si="2"/>
        <v>30003.62</v>
      </c>
      <c r="E77" s="48">
        <f>ROUND(IF(MONTH($A77)=12,2.333,1)*VLOOKUP($A77,'Página11'!$A$1:$S$27,COLUMN(),TRUE),2)</f>
        <v>28810.18</v>
      </c>
      <c r="F77" s="48">
        <f>ROUND(IF(MONTH($A77)=12,2.333,1)*VLOOKUP($A77,'Página11'!$A$1:$S$27,COLUMN(),TRUE),2)</f>
        <v>27369.67</v>
      </c>
      <c r="G77" s="48">
        <f t="shared" si="8"/>
        <v>26023.8</v>
      </c>
      <c r="H77" s="48">
        <f>ROUND(IF(MONTH($A77)=12,2.333,1)*VLOOKUP($A77,'Página11'!$A$1:$S$27,COLUMN(),TRUE),2)</f>
        <v>18548.53</v>
      </c>
      <c r="I77" s="48">
        <f t="shared" si="4"/>
        <v>19621.31</v>
      </c>
      <c r="J77" s="48">
        <f>ROUND(IF(MONTH($A77)=12,2.333,1)*VLOOKUP($A77,'Página11'!$A$1:$S$27,COLUMN(),TRUE),2)</f>
        <v>18548.53</v>
      </c>
      <c r="K77" s="48">
        <f>ROUND(IF(MONTH($A77)=12,2.333,1)*VLOOKUP($A77,'Página11'!$A$1:$S$27,COLUMN(),TRUE),2)</f>
        <v>17702.6</v>
      </c>
      <c r="L77" s="48">
        <f>VLOOKUP($A77,'Página11'!$A$1:$S$27,COLUMN(),TRUE)</f>
        <v>27303.7</v>
      </c>
      <c r="M77" s="48">
        <f>VLOOKUP($A77,'Página11'!$A$1:$S$27,COLUMN(),TRUE)</f>
        <v>11826.61</v>
      </c>
      <c r="N77" s="48">
        <f>VLOOKUP($A77,'Página11'!$A$1:$S$27,COLUMN(),TRUE)</f>
        <v>27303.62</v>
      </c>
      <c r="O77" s="48">
        <f>VLOOKUP($A77,'Página11'!$A$1:$S$27,COLUMN(),TRUE)</f>
        <v>3000</v>
      </c>
      <c r="P77" s="48">
        <f>VLOOKUP($A77,'Página11'!$A$1:$S$27,COLUMN(),TRUE)</f>
        <v>17663.86175</v>
      </c>
      <c r="Q77" s="48">
        <f>VLOOKUP($A77,'Página11'!$A$1:$S$27,COLUMN(),TRUE)</f>
        <v>8574.29225</v>
      </c>
      <c r="R77" s="48">
        <f>VLOOKUP($A77,'Página11'!$A$1:$S$27,COLUMN(),TRUE)</f>
        <v>17663.811</v>
      </c>
      <c r="S77" s="48">
        <f>VLOOKUP($A77,'Página11'!$A$1:$S$27,COLUMN(),TRUE)</f>
        <v>2175</v>
      </c>
      <c r="T77" s="73">
        <f t="shared" si="5"/>
        <v>2022</v>
      </c>
      <c r="U77" s="73">
        <f t="shared" si="6"/>
        <v>4</v>
      </c>
    </row>
    <row r="78">
      <c r="A78" s="34">
        <v>44682.0</v>
      </c>
      <c r="B78" s="48">
        <f t="shared" si="7"/>
        <v>38834.65</v>
      </c>
      <c r="C78" s="48">
        <f>ROUND(IF(MONTH($A78)=12,2.333,1)*VLOOKUP($A78,'Página11'!$A$1:$S$27,COLUMN(),TRUE),2)</f>
        <v>28810.18</v>
      </c>
      <c r="D78" s="48">
        <f t="shared" si="2"/>
        <v>30003.62</v>
      </c>
      <c r="E78" s="48">
        <f>ROUND(IF(MONTH($A78)=12,2.333,1)*VLOOKUP($A78,'Página11'!$A$1:$S$27,COLUMN(),TRUE),2)</f>
        <v>28810.18</v>
      </c>
      <c r="F78" s="48">
        <f>ROUND(IF(MONTH($A78)=12,2.333,1)*VLOOKUP($A78,'Página11'!$A$1:$S$27,COLUMN(),TRUE),2)</f>
        <v>27369.67</v>
      </c>
      <c r="G78" s="48">
        <f t="shared" si="8"/>
        <v>26023.8</v>
      </c>
      <c r="H78" s="48">
        <f>ROUND(IF(MONTH($A78)=12,2.333,1)*VLOOKUP($A78,'Página11'!$A$1:$S$27,COLUMN(),TRUE),2)</f>
        <v>18548.53</v>
      </c>
      <c r="I78" s="48">
        <f t="shared" si="4"/>
        <v>19621.31</v>
      </c>
      <c r="J78" s="48">
        <f>ROUND(IF(MONTH($A78)=12,2.333,1)*VLOOKUP($A78,'Página11'!$A$1:$S$27,COLUMN(),TRUE),2)</f>
        <v>18548.53</v>
      </c>
      <c r="K78" s="48">
        <f>ROUND(IF(MONTH($A78)=12,2.333,1)*VLOOKUP($A78,'Página11'!$A$1:$S$27,COLUMN(),TRUE),2)</f>
        <v>17702.6</v>
      </c>
      <c r="L78" s="48">
        <f>VLOOKUP($A78,'Página11'!$A$1:$S$27,COLUMN(),TRUE)</f>
        <v>27303.7</v>
      </c>
      <c r="M78" s="48">
        <f>VLOOKUP($A78,'Página11'!$A$1:$S$27,COLUMN(),TRUE)</f>
        <v>11826.61</v>
      </c>
      <c r="N78" s="48">
        <f>VLOOKUP($A78,'Página11'!$A$1:$S$27,COLUMN(),TRUE)</f>
        <v>27303.62</v>
      </c>
      <c r="O78" s="48">
        <f>VLOOKUP($A78,'Página11'!$A$1:$S$27,COLUMN(),TRUE)</f>
        <v>3000</v>
      </c>
      <c r="P78" s="48">
        <f>VLOOKUP($A78,'Página11'!$A$1:$S$27,COLUMN(),TRUE)</f>
        <v>17663.86175</v>
      </c>
      <c r="Q78" s="48">
        <f>VLOOKUP($A78,'Página11'!$A$1:$S$27,COLUMN(),TRUE)</f>
        <v>8574.29225</v>
      </c>
      <c r="R78" s="48">
        <f>VLOOKUP($A78,'Página11'!$A$1:$S$27,COLUMN(),TRUE)</f>
        <v>17663.811</v>
      </c>
      <c r="S78" s="48">
        <f>VLOOKUP($A78,'Página11'!$A$1:$S$27,COLUMN(),TRUE)</f>
        <v>2175</v>
      </c>
      <c r="T78" s="73">
        <f t="shared" si="5"/>
        <v>2022</v>
      </c>
      <c r="U78" s="73">
        <f t="shared" si="6"/>
        <v>5</v>
      </c>
    </row>
    <row r="79">
      <c r="A79" s="34">
        <v>44713.0</v>
      </c>
      <c r="B79" s="48">
        <f t="shared" si="7"/>
        <v>38834.65</v>
      </c>
      <c r="C79" s="48">
        <f>ROUND(IF(MONTH($A79)=12,2.333,1)*VLOOKUP($A79,'Página11'!$A$1:$S$27,COLUMN(),TRUE),2)</f>
        <v>28810.18</v>
      </c>
      <c r="D79" s="48">
        <f t="shared" si="2"/>
        <v>30003.62</v>
      </c>
      <c r="E79" s="48">
        <f>ROUND(IF(MONTH($A79)=12,2.333,1)*VLOOKUP($A79,'Página11'!$A$1:$S$27,COLUMN(),TRUE),2)</f>
        <v>28810.18</v>
      </c>
      <c r="F79" s="48">
        <f>ROUND(IF(MONTH($A79)=12,2.333,1)*VLOOKUP($A79,'Página11'!$A$1:$S$27,COLUMN(),TRUE),2)</f>
        <v>27369.67</v>
      </c>
      <c r="G79" s="48">
        <f t="shared" si="8"/>
        <v>26023.8</v>
      </c>
      <c r="H79" s="48">
        <f>ROUND(IF(MONTH($A79)=12,2.333,1)*VLOOKUP($A79,'Página11'!$A$1:$S$27,COLUMN(),TRUE),2)</f>
        <v>18548.53</v>
      </c>
      <c r="I79" s="48">
        <f t="shared" si="4"/>
        <v>19621.31</v>
      </c>
      <c r="J79" s="48">
        <f>ROUND(IF(MONTH($A79)=12,2.333,1)*VLOOKUP($A79,'Página11'!$A$1:$S$27,COLUMN(),TRUE),2)</f>
        <v>18548.53</v>
      </c>
      <c r="K79" s="48">
        <f>ROUND(IF(MONTH($A79)=12,2.333,1)*VLOOKUP($A79,'Página11'!$A$1:$S$27,COLUMN(),TRUE),2)</f>
        <v>17702.6</v>
      </c>
      <c r="L79" s="48">
        <f>VLOOKUP($A79,'Página11'!$A$1:$S$27,COLUMN(),TRUE)</f>
        <v>27303.7</v>
      </c>
      <c r="M79" s="48">
        <f>VLOOKUP($A79,'Página11'!$A$1:$S$27,COLUMN(),TRUE)</f>
        <v>11826.61</v>
      </c>
      <c r="N79" s="48">
        <f>VLOOKUP($A79,'Página11'!$A$1:$S$27,COLUMN(),TRUE)</f>
        <v>27303.62</v>
      </c>
      <c r="O79" s="48">
        <f>VLOOKUP($A79,'Página11'!$A$1:$S$27,COLUMN(),TRUE)</f>
        <v>3000</v>
      </c>
      <c r="P79" s="48">
        <f>VLOOKUP($A79,'Página11'!$A$1:$S$27,COLUMN(),TRUE)</f>
        <v>17663.86175</v>
      </c>
      <c r="Q79" s="48">
        <f>VLOOKUP($A79,'Página11'!$A$1:$S$27,COLUMN(),TRUE)</f>
        <v>8574.29225</v>
      </c>
      <c r="R79" s="48">
        <f>VLOOKUP($A79,'Página11'!$A$1:$S$27,COLUMN(),TRUE)</f>
        <v>17663.811</v>
      </c>
      <c r="S79" s="48">
        <f>VLOOKUP($A79,'Página11'!$A$1:$S$27,COLUMN(),TRUE)</f>
        <v>2175</v>
      </c>
      <c r="T79" s="73">
        <f t="shared" si="5"/>
        <v>2022</v>
      </c>
      <c r="U79" s="73">
        <f t="shared" si="6"/>
        <v>6</v>
      </c>
    </row>
    <row r="80">
      <c r="A80" s="34">
        <v>44743.0</v>
      </c>
      <c r="B80" s="48">
        <f t="shared" si="7"/>
        <v>38834.65</v>
      </c>
      <c r="C80" s="48">
        <f>ROUND(IF(MONTH($A80)=12,2.333,1)*VLOOKUP($A80,'Página11'!$A$1:$S$27,COLUMN(),TRUE),2)</f>
        <v>28810.18</v>
      </c>
      <c r="D80" s="48">
        <f t="shared" si="2"/>
        <v>30003.62</v>
      </c>
      <c r="E80" s="48">
        <f>ROUND(IF(MONTH($A80)=12,2.333,1)*VLOOKUP($A80,'Página11'!$A$1:$S$27,COLUMN(),TRUE),2)</f>
        <v>28810.18</v>
      </c>
      <c r="F80" s="48">
        <f>ROUND(IF(MONTH($A80)=12,2.333,1)*VLOOKUP($A80,'Página11'!$A$1:$S$27,COLUMN(),TRUE),2)</f>
        <v>27369.67</v>
      </c>
      <c r="G80" s="48">
        <f t="shared" si="8"/>
        <v>26023.8</v>
      </c>
      <c r="H80" s="48">
        <f>ROUND(IF(MONTH($A80)=12,2.333,1)*VLOOKUP($A80,'Página11'!$A$1:$S$27,COLUMN(),TRUE),2)</f>
        <v>18548.53</v>
      </c>
      <c r="I80" s="48">
        <f t="shared" si="4"/>
        <v>19621.31</v>
      </c>
      <c r="J80" s="48">
        <f>ROUND(IF(MONTH($A80)=12,2.333,1)*VLOOKUP($A80,'Página11'!$A$1:$S$27,COLUMN(),TRUE),2)</f>
        <v>18548.53</v>
      </c>
      <c r="K80" s="48">
        <f>ROUND(IF(MONTH($A80)=12,2.333,1)*VLOOKUP($A80,'Página11'!$A$1:$S$27,COLUMN(),TRUE),2)</f>
        <v>17702.6</v>
      </c>
      <c r="L80" s="48">
        <f>VLOOKUP($A80,'Página11'!$A$1:$S$27,COLUMN(),TRUE)</f>
        <v>27303.7</v>
      </c>
      <c r="M80" s="48">
        <f>VLOOKUP($A80,'Página11'!$A$1:$S$27,COLUMN(),TRUE)</f>
        <v>11826.61</v>
      </c>
      <c r="N80" s="48">
        <f>VLOOKUP($A80,'Página11'!$A$1:$S$27,COLUMN(),TRUE)</f>
        <v>27303.62</v>
      </c>
      <c r="O80" s="48">
        <f>VLOOKUP($A80,'Página11'!$A$1:$S$27,COLUMN(),TRUE)</f>
        <v>3000</v>
      </c>
      <c r="P80" s="48">
        <f>VLOOKUP($A80,'Página11'!$A$1:$S$27,COLUMN(),TRUE)</f>
        <v>17663.86175</v>
      </c>
      <c r="Q80" s="48">
        <f>VLOOKUP($A80,'Página11'!$A$1:$S$27,COLUMN(),TRUE)</f>
        <v>8574.29225</v>
      </c>
      <c r="R80" s="48">
        <f>VLOOKUP($A80,'Página11'!$A$1:$S$27,COLUMN(),TRUE)</f>
        <v>17663.811</v>
      </c>
      <c r="S80" s="48">
        <f>VLOOKUP($A80,'Página11'!$A$1:$S$27,COLUMN(),TRUE)</f>
        <v>2175</v>
      </c>
      <c r="T80" s="73">
        <f t="shared" si="5"/>
        <v>2022</v>
      </c>
      <c r="U80" s="73">
        <f t="shared" si="6"/>
        <v>7</v>
      </c>
    </row>
    <row r="81">
      <c r="A81" s="34">
        <v>44774.0</v>
      </c>
      <c r="B81" s="48">
        <f t="shared" si="7"/>
        <v>38834.65</v>
      </c>
      <c r="C81" s="48">
        <f>ROUND(IF(MONTH($A81)=12,2.333,1)*VLOOKUP($A81,'Página11'!$A$1:$S$27,COLUMN(),TRUE),2)</f>
        <v>28810.18</v>
      </c>
      <c r="D81" s="48">
        <f t="shared" si="2"/>
        <v>30003.62</v>
      </c>
      <c r="E81" s="48">
        <f>ROUND(IF(MONTH($A81)=12,2.333,1)*VLOOKUP($A81,'Página11'!$A$1:$S$27,COLUMN(),TRUE),2)</f>
        <v>28810.18</v>
      </c>
      <c r="F81" s="48">
        <f>ROUND(IF(MONTH($A81)=12,2.333,1)*VLOOKUP($A81,'Página11'!$A$1:$S$27,COLUMN(),TRUE),2)</f>
        <v>27369.67</v>
      </c>
      <c r="G81" s="48">
        <f t="shared" si="8"/>
        <v>26023.8</v>
      </c>
      <c r="H81" s="48">
        <f>ROUND(IF(MONTH($A81)=12,2.333,1)*VLOOKUP($A81,'Página11'!$A$1:$S$27,COLUMN(),TRUE),2)</f>
        <v>18548.53</v>
      </c>
      <c r="I81" s="48">
        <f t="shared" si="4"/>
        <v>19621.31</v>
      </c>
      <c r="J81" s="48">
        <f>ROUND(IF(MONTH($A81)=12,2.333,1)*VLOOKUP($A81,'Página11'!$A$1:$S$27,COLUMN(),TRUE),2)</f>
        <v>18548.53</v>
      </c>
      <c r="K81" s="48">
        <f>ROUND(IF(MONTH($A81)=12,2.333,1)*VLOOKUP($A81,'Página11'!$A$1:$S$27,COLUMN(),TRUE),2)</f>
        <v>17702.6</v>
      </c>
      <c r="L81" s="48">
        <f>VLOOKUP($A81,'Página11'!$A$1:$S$27,COLUMN(),TRUE)</f>
        <v>27303.7</v>
      </c>
      <c r="M81" s="48">
        <f>VLOOKUP($A81,'Página11'!$A$1:$S$27,COLUMN(),TRUE)</f>
        <v>11826.61</v>
      </c>
      <c r="N81" s="48">
        <f>VLOOKUP($A81,'Página11'!$A$1:$S$27,COLUMN(),TRUE)</f>
        <v>27303.62</v>
      </c>
      <c r="O81" s="48">
        <f>VLOOKUP($A81,'Página11'!$A$1:$S$27,COLUMN(),TRUE)</f>
        <v>3000</v>
      </c>
      <c r="P81" s="48">
        <f>VLOOKUP($A81,'Página11'!$A$1:$S$27,COLUMN(),TRUE)</f>
        <v>17663.86175</v>
      </c>
      <c r="Q81" s="48">
        <f>VLOOKUP($A81,'Página11'!$A$1:$S$27,COLUMN(),TRUE)</f>
        <v>8574.29225</v>
      </c>
      <c r="R81" s="48">
        <f>VLOOKUP($A81,'Página11'!$A$1:$S$27,COLUMN(),TRUE)</f>
        <v>17663.811</v>
      </c>
      <c r="S81" s="48">
        <f>VLOOKUP($A81,'Página11'!$A$1:$S$27,COLUMN(),TRUE)</f>
        <v>2175</v>
      </c>
      <c r="T81" s="73">
        <f t="shared" si="5"/>
        <v>2022</v>
      </c>
      <c r="U81" s="73">
        <f t="shared" si="6"/>
        <v>8</v>
      </c>
    </row>
    <row r="82">
      <c r="A82" s="34">
        <v>44805.0</v>
      </c>
      <c r="B82" s="48">
        <f t="shared" si="7"/>
        <v>38834.65</v>
      </c>
      <c r="C82" s="48">
        <f>ROUND(IF(MONTH($A82)=12,2.333,1)*VLOOKUP($A82,'Página11'!$A$1:$S$27,COLUMN(),TRUE),2)</f>
        <v>28810.18</v>
      </c>
      <c r="D82" s="48">
        <f t="shared" si="2"/>
        <v>30003.62</v>
      </c>
      <c r="E82" s="48">
        <f>ROUND(IF(MONTH($A82)=12,2.333,1)*VLOOKUP($A82,'Página11'!$A$1:$S$27,COLUMN(),TRUE),2)</f>
        <v>28810.18</v>
      </c>
      <c r="F82" s="48">
        <f>ROUND(IF(MONTH($A82)=12,2.333,1)*VLOOKUP($A82,'Página11'!$A$1:$S$27,COLUMN(),TRUE),2)</f>
        <v>27369.67</v>
      </c>
      <c r="G82" s="48">
        <f t="shared" si="8"/>
        <v>26023.8</v>
      </c>
      <c r="H82" s="48">
        <f>ROUND(IF(MONTH($A82)=12,2.333,1)*VLOOKUP($A82,'Página11'!$A$1:$S$27,COLUMN(),TRUE),2)</f>
        <v>18548.53</v>
      </c>
      <c r="I82" s="48">
        <f t="shared" si="4"/>
        <v>19621.31</v>
      </c>
      <c r="J82" s="48">
        <f>ROUND(IF(MONTH($A82)=12,2.333,1)*VLOOKUP($A82,'Página11'!$A$1:$S$27,COLUMN(),TRUE),2)</f>
        <v>18548.53</v>
      </c>
      <c r="K82" s="48">
        <f>ROUND(IF(MONTH($A82)=12,2.333,1)*VLOOKUP($A82,'Página11'!$A$1:$S$27,COLUMN(),TRUE),2)</f>
        <v>17702.6</v>
      </c>
      <c r="L82" s="48">
        <f>VLOOKUP($A82,'Página11'!$A$1:$S$27,COLUMN(),TRUE)</f>
        <v>27303.7</v>
      </c>
      <c r="M82" s="48">
        <f>VLOOKUP($A82,'Página11'!$A$1:$S$27,COLUMN(),TRUE)</f>
        <v>11826.61</v>
      </c>
      <c r="N82" s="48">
        <f>VLOOKUP($A82,'Página11'!$A$1:$S$27,COLUMN(),TRUE)</f>
        <v>27303.62</v>
      </c>
      <c r="O82" s="48">
        <f>VLOOKUP($A82,'Página11'!$A$1:$S$27,COLUMN(),TRUE)</f>
        <v>3000</v>
      </c>
      <c r="P82" s="48">
        <f>VLOOKUP($A82,'Página11'!$A$1:$S$27,COLUMN(),TRUE)</f>
        <v>17663.86175</v>
      </c>
      <c r="Q82" s="48">
        <f>VLOOKUP($A82,'Página11'!$A$1:$S$27,COLUMN(),TRUE)</f>
        <v>8574.29225</v>
      </c>
      <c r="R82" s="48">
        <f>VLOOKUP($A82,'Página11'!$A$1:$S$27,COLUMN(),TRUE)</f>
        <v>17663.811</v>
      </c>
      <c r="S82" s="48">
        <f>VLOOKUP($A82,'Página11'!$A$1:$S$27,COLUMN(),TRUE)</f>
        <v>2175</v>
      </c>
      <c r="T82" s="73">
        <f t="shared" si="5"/>
        <v>2022</v>
      </c>
      <c r="U82" s="73">
        <f t="shared" si="6"/>
        <v>9</v>
      </c>
    </row>
    <row r="83">
      <c r="A83" s="34">
        <v>44835.0</v>
      </c>
      <c r="B83" s="48">
        <f t="shared" si="7"/>
        <v>38834.65</v>
      </c>
      <c r="C83" s="48">
        <f>ROUND(IF(MONTH($A83)=12,2.333,1)*VLOOKUP($A83,'Página11'!$A$1:$S$27,COLUMN(),TRUE),2)</f>
        <v>28810.18</v>
      </c>
      <c r="D83" s="48">
        <f t="shared" si="2"/>
        <v>30003.62</v>
      </c>
      <c r="E83" s="48">
        <f>ROUND(IF(MONTH($A83)=12,2.333,1)*VLOOKUP($A83,'Página11'!$A$1:$S$27,COLUMN(),TRUE),2)</f>
        <v>28810.18</v>
      </c>
      <c r="F83" s="48">
        <f>ROUND(IF(MONTH($A83)=12,2.333,1)*VLOOKUP($A83,'Página11'!$A$1:$S$27,COLUMN(),TRUE),2)</f>
        <v>27369.67</v>
      </c>
      <c r="G83" s="48">
        <f t="shared" si="8"/>
        <v>26023.8</v>
      </c>
      <c r="H83" s="48">
        <f>ROUND(IF(MONTH($A83)=12,2.333,1)*VLOOKUP($A83,'Página11'!$A$1:$S$27,COLUMN(),TRUE),2)</f>
        <v>18548.53</v>
      </c>
      <c r="I83" s="48">
        <f t="shared" si="4"/>
        <v>19621.31</v>
      </c>
      <c r="J83" s="48">
        <f>ROUND(IF(MONTH($A83)=12,2.333,1)*VLOOKUP($A83,'Página11'!$A$1:$S$27,COLUMN(),TRUE),2)</f>
        <v>18548.53</v>
      </c>
      <c r="K83" s="48">
        <f>ROUND(IF(MONTH($A83)=12,2.333,1)*VLOOKUP($A83,'Página11'!$A$1:$S$27,COLUMN(),TRUE),2)</f>
        <v>17702.6</v>
      </c>
      <c r="L83" s="48">
        <f>VLOOKUP($A83,'Página11'!$A$1:$S$27,COLUMN(),TRUE)</f>
        <v>27303.7</v>
      </c>
      <c r="M83" s="48">
        <f>VLOOKUP($A83,'Página11'!$A$1:$S$27,COLUMN(),TRUE)</f>
        <v>11826.61</v>
      </c>
      <c r="N83" s="48">
        <f>VLOOKUP($A83,'Página11'!$A$1:$S$27,COLUMN(),TRUE)</f>
        <v>27303.62</v>
      </c>
      <c r="O83" s="48">
        <f>VLOOKUP($A83,'Página11'!$A$1:$S$27,COLUMN(),TRUE)</f>
        <v>3000</v>
      </c>
      <c r="P83" s="48">
        <f>VLOOKUP($A83,'Página11'!$A$1:$S$27,COLUMN(),TRUE)</f>
        <v>17663.86175</v>
      </c>
      <c r="Q83" s="48">
        <f>VLOOKUP($A83,'Página11'!$A$1:$S$27,COLUMN(),TRUE)</f>
        <v>8574.29225</v>
      </c>
      <c r="R83" s="48">
        <f>VLOOKUP($A83,'Página11'!$A$1:$S$27,COLUMN(),TRUE)</f>
        <v>17663.811</v>
      </c>
      <c r="S83" s="48">
        <f>VLOOKUP($A83,'Página11'!$A$1:$S$27,COLUMN(),TRUE)</f>
        <v>2175</v>
      </c>
      <c r="T83" s="73">
        <f t="shared" si="5"/>
        <v>2022</v>
      </c>
      <c r="U83" s="73">
        <f t="shared" si="6"/>
        <v>10</v>
      </c>
    </row>
    <row r="84">
      <c r="A84" s="34">
        <v>44866.0</v>
      </c>
      <c r="B84" s="48">
        <f t="shared" si="7"/>
        <v>38834.65</v>
      </c>
      <c r="C84" s="48">
        <f>ROUND(IF(MONTH($A84)=12,2.333,1)*VLOOKUP($A84,'Página11'!$A$1:$S$27,COLUMN(),TRUE),2)</f>
        <v>28810.18</v>
      </c>
      <c r="D84" s="48">
        <f t="shared" si="2"/>
        <v>30003.62</v>
      </c>
      <c r="E84" s="48">
        <f>ROUND(IF(MONTH($A84)=12,2.333,1)*VLOOKUP($A84,'Página11'!$A$1:$S$27,COLUMN(),TRUE),2)</f>
        <v>28810.18</v>
      </c>
      <c r="F84" s="48">
        <f>ROUND(IF(MONTH($A84)=12,2.333,1)*VLOOKUP($A84,'Página11'!$A$1:$S$27,COLUMN(),TRUE),2)</f>
        <v>27369.67</v>
      </c>
      <c r="G84" s="48">
        <f t="shared" si="8"/>
        <v>26023.8</v>
      </c>
      <c r="H84" s="48">
        <f>ROUND(IF(MONTH($A84)=12,2.333,1)*VLOOKUP($A84,'Página11'!$A$1:$S$27,COLUMN(),TRUE),2)</f>
        <v>18548.53</v>
      </c>
      <c r="I84" s="48">
        <f t="shared" si="4"/>
        <v>19621.31</v>
      </c>
      <c r="J84" s="48">
        <f>ROUND(IF(MONTH($A84)=12,2.333,1)*VLOOKUP($A84,'Página11'!$A$1:$S$27,COLUMN(),TRUE),2)</f>
        <v>18548.53</v>
      </c>
      <c r="K84" s="48">
        <f>ROUND(IF(MONTH($A84)=12,2.333,1)*VLOOKUP($A84,'Página11'!$A$1:$S$27,COLUMN(),TRUE),2)</f>
        <v>17702.6</v>
      </c>
      <c r="L84" s="48">
        <f>VLOOKUP($A84,'Página11'!$A$1:$S$27,COLUMN(),TRUE)</f>
        <v>27303.7</v>
      </c>
      <c r="M84" s="48">
        <f>VLOOKUP($A84,'Página11'!$A$1:$S$27,COLUMN(),TRUE)</f>
        <v>11826.61</v>
      </c>
      <c r="N84" s="48">
        <f>VLOOKUP($A84,'Página11'!$A$1:$S$27,COLUMN(),TRUE)</f>
        <v>27303.62</v>
      </c>
      <c r="O84" s="48">
        <f>VLOOKUP($A84,'Página11'!$A$1:$S$27,COLUMN(),TRUE)</f>
        <v>3000</v>
      </c>
      <c r="P84" s="48">
        <f>VLOOKUP($A84,'Página11'!$A$1:$S$27,COLUMN(),TRUE)</f>
        <v>17663.86175</v>
      </c>
      <c r="Q84" s="48">
        <f>VLOOKUP($A84,'Página11'!$A$1:$S$27,COLUMN(),TRUE)</f>
        <v>8574.29225</v>
      </c>
      <c r="R84" s="48">
        <f>VLOOKUP($A84,'Página11'!$A$1:$S$27,COLUMN(),TRUE)</f>
        <v>17663.811</v>
      </c>
      <c r="S84" s="48">
        <f>VLOOKUP($A84,'Página11'!$A$1:$S$27,COLUMN(),TRUE)</f>
        <v>2175</v>
      </c>
      <c r="T84" s="73">
        <f t="shared" si="5"/>
        <v>2022</v>
      </c>
      <c r="U84" s="73">
        <f t="shared" si="6"/>
        <v>11</v>
      </c>
    </row>
    <row r="85">
      <c r="A85" s="34">
        <v>44896.0</v>
      </c>
      <c r="B85" s="48">
        <f t="shared" si="7"/>
        <v>90601.24</v>
      </c>
      <c r="C85" s="48">
        <f>ROUND(IF(MONTH($A85)=12,2.333,1)*VLOOKUP($A85,'Página11'!$A$1:$S$27,COLUMN(),TRUE),2)</f>
        <v>67214.15</v>
      </c>
      <c r="D85" s="48">
        <f t="shared" si="2"/>
        <v>69998.45</v>
      </c>
      <c r="E85" s="48">
        <f>ROUND(IF(MONTH($A85)=12,2.333,1)*VLOOKUP($A85,'Página11'!$A$1:$S$27,COLUMN(),TRUE),2)</f>
        <v>67214.15</v>
      </c>
      <c r="F85" s="48">
        <f>ROUND(IF(MONTH($A85)=12,2.333,1)*VLOOKUP($A85,'Página11'!$A$1:$S$27,COLUMN(),TRUE),2)</f>
        <v>63853.44</v>
      </c>
      <c r="G85" s="48">
        <f t="shared" si="8"/>
        <v>60713.53</v>
      </c>
      <c r="H85" s="48">
        <f>ROUND(IF(MONTH($A85)=12,2.333,1)*VLOOKUP($A85,'Página11'!$A$1:$S$27,COLUMN(),TRUE),2)</f>
        <v>43273.73</v>
      </c>
      <c r="I85" s="48">
        <f t="shared" si="4"/>
        <v>45776.52</v>
      </c>
      <c r="J85" s="48">
        <f>ROUND(IF(MONTH($A85)=12,2.333,1)*VLOOKUP($A85,'Página11'!$A$1:$S$27,COLUMN(),TRUE),2)</f>
        <v>43273.73</v>
      </c>
      <c r="K85" s="48">
        <f>ROUND(IF(MONTH($A85)=12,2.333,1)*VLOOKUP($A85,'Página11'!$A$1:$S$27,COLUMN(),TRUE),2)</f>
        <v>41300.16</v>
      </c>
      <c r="L85" s="48">
        <f>VLOOKUP($A85,'Página11'!$A$1:$S$27,COLUMN(),TRUE)</f>
        <v>27303.7</v>
      </c>
      <c r="M85" s="48">
        <f>VLOOKUP($A85,'Página11'!$A$1:$S$27,COLUMN(),TRUE)</f>
        <v>11826.61</v>
      </c>
      <c r="N85" s="48">
        <f>VLOOKUP($A85,'Página11'!$A$1:$S$27,COLUMN(),TRUE)</f>
        <v>27303.62</v>
      </c>
      <c r="O85" s="48">
        <f>VLOOKUP($A85,'Página11'!$A$1:$S$27,COLUMN(),TRUE)</f>
        <v>3000</v>
      </c>
      <c r="P85" s="48">
        <f>VLOOKUP($A85,'Página11'!$A$1:$S$27,COLUMN(),TRUE)</f>
        <v>17663.86175</v>
      </c>
      <c r="Q85" s="48">
        <f>VLOOKUP($A85,'Página11'!$A$1:$S$27,COLUMN(),TRUE)</f>
        <v>8574.29225</v>
      </c>
      <c r="R85" s="48">
        <f>VLOOKUP($A85,'Página11'!$A$1:$S$27,COLUMN(),TRUE)</f>
        <v>17663.811</v>
      </c>
      <c r="S85" s="48">
        <f>VLOOKUP($A85,'Página11'!$A$1:$S$27,COLUMN(),TRUE)</f>
        <v>2175</v>
      </c>
      <c r="T85" s="73">
        <f t="shared" si="5"/>
        <v>2022</v>
      </c>
      <c r="U85" s="73">
        <f t="shared" si="6"/>
        <v>12</v>
      </c>
    </row>
    <row r="86">
      <c r="A86" s="34">
        <v>44927.0</v>
      </c>
      <c r="B86" s="48">
        <f t="shared" si="7"/>
        <v>38991.27</v>
      </c>
      <c r="C86" s="48">
        <f>ROUND(IF(MONTH($A86)=12,2.333,1)*VLOOKUP($A86,'Página11'!$A$1:$S$27,COLUMN(),TRUE),2)</f>
        <v>28810.18</v>
      </c>
      <c r="D86" s="48">
        <f t="shared" si="2"/>
        <v>30003.62</v>
      </c>
      <c r="E86" s="48">
        <f>ROUND(IF(MONTH($A86)=12,2.333,1)*VLOOKUP($A86,'Página11'!$A$1:$S$27,COLUMN(),TRUE),2)</f>
        <v>28810.18</v>
      </c>
      <c r="F86" s="48">
        <f>ROUND(IF(MONTH($A86)=12,2.333,1)*VLOOKUP($A86,'Página11'!$A$1:$S$27,COLUMN(),TRUE),2)</f>
        <v>27369.67</v>
      </c>
      <c r="G86" s="48">
        <f t="shared" si="8"/>
        <v>26182.64</v>
      </c>
      <c r="H86" s="48">
        <f>ROUND(IF(MONTH($A86)=12,2.333,1)*VLOOKUP($A86,'Página11'!$A$1:$S$27,COLUMN(),TRUE),2)</f>
        <v>18593.82</v>
      </c>
      <c r="I86" s="48">
        <f t="shared" si="4"/>
        <v>19666.59</v>
      </c>
      <c r="J86" s="48">
        <f>ROUND(IF(MONTH($A86)=12,2.333,1)*VLOOKUP($A86,'Página11'!$A$1:$S$27,COLUMN(),TRUE),2)</f>
        <v>18593.82</v>
      </c>
      <c r="K86" s="48">
        <f>ROUND(IF(MONTH($A86)=12,2.333,1)*VLOOKUP($A86,'Página11'!$A$1:$S$27,COLUMN(),TRUE),2)</f>
        <v>17747.88</v>
      </c>
      <c r="L86" s="48">
        <f>VLOOKUP($A86,'Página11'!$A$1:$S$27,COLUMN(),TRUE)</f>
        <v>27303.7</v>
      </c>
      <c r="M86" s="48">
        <f>VLOOKUP($A86,'Página11'!$A$1:$S$27,COLUMN(),TRUE)</f>
        <v>11987.25</v>
      </c>
      <c r="N86" s="48">
        <f>VLOOKUP($A86,'Página11'!$A$1:$S$27,COLUMN(),TRUE)</f>
        <v>27303.62</v>
      </c>
      <c r="O86" s="48">
        <f>VLOOKUP($A86,'Página11'!$A$1:$S$27,COLUMN(),TRUE)</f>
        <v>3000</v>
      </c>
      <c r="P86" s="48">
        <f>VLOOKUP($A86,'Página11'!$A$1:$S$27,COLUMN(),TRUE)</f>
        <v>17709.14525</v>
      </c>
      <c r="Q86" s="48">
        <f>VLOOKUP($A86,'Página11'!$A$1:$S$27,COLUMN(),TRUE)</f>
        <v>8690.75625</v>
      </c>
      <c r="R86" s="48">
        <f>VLOOKUP($A86,'Página11'!$A$1:$S$27,COLUMN(),TRUE)</f>
        <v>17709.0945</v>
      </c>
      <c r="S86" s="48">
        <f>VLOOKUP($A86,'Página11'!$A$1:$S$27,COLUMN(),TRUE)</f>
        <v>2175</v>
      </c>
      <c r="T86" s="73">
        <f t="shared" si="5"/>
        <v>2023</v>
      </c>
      <c r="U86" s="73">
        <f t="shared" si="6"/>
        <v>1</v>
      </c>
    </row>
    <row r="87">
      <c r="A87" s="34">
        <v>44958.0</v>
      </c>
      <c r="B87" s="48">
        <f t="shared" si="7"/>
        <v>38993.58</v>
      </c>
      <c r="C87" s="48">
        <f>ROUND(IF(MONTH($A87)=12,2.333,1)*VLOOKUP($A87,'Página11'!$A$1:$S$27,COLUMN(),TRUE),2)</f>
        <v>28810.18</v>
      </c>
      <c r="D87" s="48">
        <f t="shared" si="2"/>
        <v>30003.62</v>
      </c>
      <c r="E87" s="48">
        <f>ROUND(IF(MONTH($A87)=12,2.333,1)*VLOOKUP($A87,'Página11'!$A$1:$S$27,COLUMN(),TRUE),2)</f>
        <v>28810.18</v>
      </c>
      <c r="F87" s="48">
        <f>ROUND(IF(MONTH($A87)=12,2.333,1)*VLOOKUP($A87,'Página11'!$A$1:$S$27,COLUMN(),TRUE),2)</f>
        <v>27369.67</v>
      </c>
      <c r="G87" s="48">
        <f t="shared" si="8"/>
        <v>26184.31</v>
      </c>
      <c r="H87" s="48">
        <f>ROUND(IF(MONTH($A87)=12,2.333,1)*VLOOKUP($A87,'Página11'!$A$1:$S$27,COLUMN(),TRUE),2)</f>
        <v>18593.82</v>
      </c>
      <c r="I87" s="48">
        <f t="shared" si="4"/>
        <v>19666.59</v>
      </c>
      <c r="J87" s="48">
        <f>ROUND(IF(MONTH($A87)=12,2.333,1)*VLOOKUP($A87,'Página11'!$A$1:$S$27,COLUMN(),TRUE),2)</f>
        <v>18593.82</v>
      </c>
      <c r="K87" s="48">
        <f>ROUND(IF(MONTH($A87)=12,2.333,1)*VLOOKUP($A87,'Página11'!$A$1:$S$27,COLUMN(),TRUE),2)</f>
        <v>17747.88</v>
      </c>
      <c r="L87" s="48">
        <f>VLOOKUP($A87,'Página11'!$A$1:$S$27,COLUMN(),TRUE)</f>
        <v>27303.7</v>
      </c>
      <c r="M87" s="48">
        <f>VLOOKUP($A87,'Página11'!$A$1:$S$27,COLUMN(),TRUE)</f>
        <v>11989.62</v>
      </c>
      <c r="N87" s="48">
        <f>VLOOKUP($A87,'Página11'!$A$1:$S$27,COLUMN(),TRUE)</f>
        <v>27303.62</v>
      </c>
      <c r="O87" s="48">
        <f>VLOOKUP($A87,'Página11'!$A$1:$S$27,COLUMN(),TRUE)</f>
        <v>3000</v>
      </c>
      <c r="P87" s="48">
        <f>VLOOKUP($A87,'Página11'!$A$1:$S$27,COLUMN(),TRUE)</f>
        <v>17709.14525</v>
      </c>
      <c r="Q87" s="48">
        <f>VLOOKUP($A87,'Página11'!$A$1:$S$27,COLUMN(),TRUE)</f>
        <v>8692.4745</v>
      </c>
      <c r="R87" s="48">
        <f>VLOOKUP($A87,'Página11'!$A$1:$S$27,COLUMN(),TRUE)</f>
        <v>17709.0945</v>
      </c>
      <c r="S87" s="48">
        <f>VLOOKUP($A87,'Página11'!$A$1:$S$27,COLUMN(),TRUE)</f>
        <v>2175</v>
      </c>
      <c r="T87" s="73">
        <f t="shared" si="5"/>
        <v>2023</v>
      </c>
      <c r="U87" s="73">
        <f t="shared" si="6"/>
        <v>2</v>
      </c>
    </row>
    <row r="88">
      <c r="A88" s="34">
        <v>44986.0</v>
      </c>
      <c r="B88" s="48">
        <f t="shared" si="7"/>
        <v>38993.58</v>
      </c>
      <c r="C88" s="48">
        <f>ROUND(IF(MONTH($A88)=12,2.333,1)*VLOOKUP($A88,'Página11'!$A$1:$S$27,COLUMN(),TRUE),2)</f>
        <v>28810.18</v>
      </c>
      <c r="D88" s="48">
        <f t="shared" si="2"/>
        <v>30003.62</v>
      </c>
      <c r="E88" s="48">
        <f>ROUND(IF(MONTH($A88)=12,2.333,1)*VLOOKUP($A88,'Página11'!$A$1:$S$27,COLUMN(),TRUE),2)</f>
        <v>28810.18</v>
      </c>
      <c r="F88" s="48">
        <f>ROUND(IF(MONTH($A88)=12,2.333,1)*VLOOKUP($A88,'Página11'!$A$1:$S$27,COLUMN(),TRUE),2)</f>
        <v>27369.67</v>
      </c>
      <c r="G88" s="48">
        <f t="shared" si="8"/>
        <v>26184.31</v>
      </c>
      <c r="H88" s="48">
        <f>ROUND(IF(MONTH($A88)=12,2.333,1)*VLOOKUP($A88,'Página11'!$A$1:$S$27,COLUMN(),TRUE),2)</f>
        <v>18593.82</v>
      </c>
      <c r="I88" s="48">
        <f t="shared" si="4"/>
        <v>19666.59</v>
      </c>
      <c r="J88" s="48">
        <f>ROUND(IF(MONTH($A88)=12,2.333,1)*VLOOKUP($A88,'Página11'!$A$1:$S$27,COLUMN(),TRUE),2)</f>
        <v>18593.82</v>
      </c>
      <c r="K88" s="48">
        <f>ROUND(IF(MONTH($A88)=12,2.333,1)*VLOOKUP($A88,'Página11'!$A$1:$S$27,COLUMN(),TRUE),2)</f>
        <v>17747.88</v>
      </c>
      <c r="L88" s="48">
        <f>VLOOKUP($A88,'Página11'!$A$1:$S$27,COLUMN(),TRUE)</f>
        <v>27303.7</v>
      </c>
      <c r="M88" s="48">
        <f>VLOOKUP($A88,'Página11'!$A$1:$S$27,COLUMN(),TRUE)</f>
        <v>11989.62</v>
      </c>
      <c r="N88" s="48">
        <f>VLOOKUP($A88,'Página11'!$A$1:$S$27,COLUMN(),TRUE)</f>
        <v>27303.62</v>
      </c>
      <c r="O88" s="48">
        <f>VLOOKUP($A88,'Página11'!$A$1:$S$27,COLUMN(),TRUE)</f>
        <v>3000</v>
      </c>
      <c r="P88" s="48">
        <f>VLOOKUP($A88,'Página11'!$A$1:$S$27,COLUMN(),TRUE)</f>
        <v>17709.14525</v>
      </c>
      <c r="Q88" s="48">
        <f>VLOOKUP($A88,'Página11'!$A$1:$S$27,COLUMN(),TRUE)</f>
        <v>8692.4745</v>
      </c>
      <c r="R88" s="48">
        <f>VLOOKUP($A88,'Página11'!$A$1:$S$27,COLUMN(),TRUE)</f>
        <v>17709.0945</v>
      </c>
      <c r="S88" s="48">
        <f>VLOOKUP($A88,'Página11'!$A$1:$S$27,COLUMN(),TRUE)</f>
        <v>2175</v>
      </c>
      <c r="T88" s="73">
        <f t="shared" si="5"/>
        <v>2023</v>
      </c>
      <c r="U88" s="73">
        <f t="shared" si="6"/>
        <v>3</v>
      </c>
    </row>
    <row r="89">
      <c r="A89" s="34">
        <v>45017.0</v>
      </c>
      <c r="B89" s="48">
        <f t="shared" si="7"/>
        <v>41050.06</v>
      </c>
      <c r="C89" s="48">
        <f>ROUND(IF(MONTH($A89)=12,2.333,1)*VLOOKUP($A89,'Página11'!$A$1:$S$27,COLUMN(),TRUE),2)</f>
        <v>28810.18</v>
      </c>
      <c r="D89" s="48">
        <f t="shared" si="2"/>
        <v>30003.62</v>
      </c>
      <c r="E89" s="48">
        <f>ROUND(IF(MONTH($A89)=12,2.333,1)*VLOOKUP($A89,'Página11'!$A$1:$S$27,COLUMN(),TRUE),2)</f>
        <v>28810.18</v>
      </c>
      <c r="F89" s="48">
        <f>ROUND(IF(MONTH($A89)=12,2.333,1)*VLOOKUP($A89,'Página11'!$A$1:$S$27,COLUMN(),TRUE),2)</f>
        <v>27369.67</v>
      </c>
      <c r="G89" s="48">
        <f t="shared" si="8"/>
        <v>27675.26</v>
      </c>
      <c r="H89" s="48">
        <f>ROUND(IF(MONTH($A89)=12,2.333,1)*VLOOKUP($A89,'Página11'!$A$1:$S$27,COLUMN(),TRUE),2)</f>
        <v>18593.82</v>
      </c>
      <c r="I89" s="48">
        <f t="shared" si="4"/>
        <v>19666.59</v>
      </c>
      <c r="J89" s="48">
        <f>ROUND(IF(MONTH($A89)=12,2.333,1)*VLOOKUP($A89,'Página11'!$A$1:$S$27,COLUMN(),TRUE),2)</f>
        <v>18593.82</v>
      </c>
      <c r="K89" s="48">
        <f>ROUND(IF(MONTH($A89)=12,2.333,1)*VLOOKUP($A89,'Página11'!$A$1:$S$27,COLUMN(),TRUE),2)</f>
        <v>17747.88</v>
      </c>
      <c r="L89" s="48">
        <f>VLOOKUP($A89,'Página11'!$A$1:$S$27,COLUMN(),TRUE)</f>
        <v>27303.7</v>
      </c>
      <c r="M89" s="48">
        <f>VLOOKUP($A89,'Página11'!$A$1:$S$27,COLUMN(),TRUE)</f>
        <v>14098.83</v>
      </c>
      <c r="N89" s="48">
        <f>VLOOKUP($A89,'Página11'!$A$1:$S$27,COLUMN(),TRUE)</f>
        <v>27303.62</v>
      </c>
      <c r="O89" s="48">
        <f>VLOOKUP($A89,'Página11'!$A$1:$S$27,COLUMN(),TRUE)</f>
        <v>3000</v>
      </c>
      <c r="P89" s="48">
        <f>VLOOKUP($A89,'Página11'!$A$1:$S$27,COLUMN(),TRUE)</f>
        <v>17709.14525</v>
      </c>
      <c r="Q89" s="48">
        <f>VLOOKUP($A89,'Página11'!$A$1:$S$27,COLUMN(),TRUE)</f>
        <v>10221.65175</v>
      </c>
      <c r="R89" s="48">
        <f>VLOOKUP($A89,'Página11'!$A$1:$S$27,COLUMN(),TRUE)</f>
        <v>17709.0945</v>
      </c>
      <c r="S89" s="48">
        <f>VLOOKUP($A89,'Página11'!$A$1:$S$27,COLUMN(),TRUE)</f>
        <v>2175</v>
      </c>
      <c r="T89" s="73">
        <f t="shared" si="5"/>
        <v>2023</v>
      </c>
      <c r="U89" s="73">
        <f t="shared" si="6"/>
        <v>4</v>
      </c>
    </row>
    <row r="90">
      <c r="A90" s="34">
        <v>45047.0</v>
      </c>
      <c r="B90" s="48">
        <f t="shared" si="7"/>
        <v>41353.68</v>
      </c>
      <c r="C90" s="48">
        <f>ROUND(IF(MONTH($A90)=12,2.333,1)*VLOOKUP($A90,'Página11'!$A$1:$S$27,COLUMN(),TRUE),2)</f>
        <v>31403.09</v>
      </c>
      <c r="D90" s="48">
        <f t="shared" si="2"/>
        <v>32460.95</v>
      </c>
      <c r="E90" s="48">
        <f>ROUND(IF(MONTH($A90)=12,2.333,1)*VLOOKUP($A90,'Página11'!$A$1:$S$27,COLUMN(),TRUE),2)</f>
        <v>31403.09</v>
      </c>
      <c r="F90" s="48">
        <f>ROUND(IF(MONTH($A90)=12,2.333,1)*VLOOKUP($A90,'Página11'!$A$1:$S$27,COLUMN(),TRUE),2)</f>
        <v>29832.94</v>
      </c>
      <c r="G90" s="48">
        <f t="shared" si="8"/>
        <v>27572.67</v>
      </c>
      <c r="H90" s="48">
        <f>ROUND(IF(MONTH($A90)=12,2.333,1)*VLOOKUP($A90,'Página11'!$A$1:$S$27,COLUMN(),TRUE),2)</f>
        <v>20132.31</v>
      </c>
      <c r="I90" s="48">
        <f t="shared" si="4"/>
        <v>21125.46</v>
      </c>
      <c r="J90" s="48">
        <f>ROUND(IF(MONTH($A90)=12,2.333,1)*VLOOKUP($A90,'Página11'!$A$1:$S$27,COLUMN(),TRUE),2)</f>
        <v>20132.31</v>
      </c>
      <c r="K90" s="48">
        <f>ROUND(IF(MONTH($A90)=12,2.333,1)*VLOOKUP($A90,'Página11'!$A$1:$S$27,COLUMN(),TRUE),2)</f>
        <v>19210.23</v>
      </c>
      <c r="L90" s="48">
        <f>VLOOKUP($A90,'Página11'!$A$1:$S$27,COLUMN(),TRUE)</f>
        <v>29761.03</v>
      </c>
      <c r="M90" s="48">
        <f>VLOOKUP($A90,'Página11'!$A$1:$S$27,COLUMN(),TRUE)</f>
        <v>11889.89</v>
      </c>
      <c r="N90" s="48">
        <f>VLOOKUP($A90,'Página11'!$A$1:$S$27,COLUMN(),TRUE)</f>
        <v>29760.95</v>
      </c>
      <c r="O90" s="48">
        <f>VLOOKUP($A90,'Página11'!$A$1:$S$27,COLUMN(),TRUE)</f>
        <v>3000</v>
      </c>
      <c r="P90" s="48">
        <f>VLOOKUP($A90,'Página11'!$A$1:$S$27,COLUMN(),TRUE)</f>
        <v>19168.00275</v>
      </c>
      <c r="Q90" s="48">
        <f>VLOOKUP($A90,'Página11'!$A$1:$S$27,COLUMN(),TRUE)</f>
        <v>8620.17025</v>
      </c>
      <c r="R90" s="48">
        <f>VLOOKUP($A90,'Página11'!$A$1:$S$27,COLUMN(),TRUE)</f>
        <v>19167.95925</v>
      </c>
      <c r="S90" s="48">
        <f>VLOOKUP($A90,'Página11'!$A$1:$S$27,COLUMN(),TRUE)</f>
        <v>2175</v>
      </c>
      <c r="T90" s="73">
        <f t="shared" si="5"/>
        <v>2023</v>
      </c>
      <c r="U90" s="73">
        <f t="shared" si="6"/>
        <v>5</v>
      </c>
    </row>
    <row r="91">
      <c r="A91" s="34">
        <v>45078.0</v>
      </c>
      <c r="B91" s="48">
        <f t="shared" si="7"/>
        <v>41353.68</v>
      </c>
      <c r="C91" s="48">
        <f>ROUND(IF(MONTH($A91)=12,2.333,1)*VLOOKUP($A91,'Página11'!$A$1:$S$27,COLUMN(),TRUE),2)</f>
        <v>31403.09</v>
      </c>
      <c r="D91" s="48">
        <f t="shared" si="2"/>
        <v>32460.95</v>
      </c>
      <c r="E91" s="48">
        <f>ROUND(IF(MONTH($A91)=12,2.333,1)*VLOOKUP($A91,'Página11'!$A$1:$S$27,COLUMN(),TRUE),2)</f>
        <v>31403.09</v>
      </c>
      <c r="F91" s="48">
        <f>ROUND(IF(MONTH($A91)=12,2.333,1)*VLOOKUP($A91,'Página11'!$A$1:$S$27,COLUMN(),TRUE),2)</f>
        <v>29832.94</v>
      </c>
      <c r="G91" s="48">
        <f t="shared" si="8"/>
        <v>27572.67</v>
      </c>
      <c r="H91" s="48">
        <f>ROUND(IF(MONTH($A91)=12,2.333,1)*VLOOKUP($A91,'Página11'!$A$1:$S$27,COLUMN(),TRUE),2)</f>
        <v>20132.31</v>
      </c>
      <c r="I91" s="48">
        <f t="shared" si="4"/>
        <v>21125.46</v>
      </c>
      <c r="J91" s="48">
        <f>ROUND(IF(MONTH($A91)=12,2.333,1)*VLOOKUP($A91,'Página11'!$A$1:$S$27,COLUMN(),TRUE),2)</f>
        <v>20132.31</v>
      </c>
      <c r="K91" s="48">
        <f>ROUND(IF(MONTH($A91)=12,2.333,1)*VLOOKUP($A91,'Página11'!$A$1:$S$27,COLUMN(),TRUE),2)</f>
        <v>19210.23</v>
      </c>
      <c r="L91" s="48">
        <f>VLOOKUP($A91,'Página11'!$A$1:$S$27,COLUMN(),TRUE)</f>
        <v>29761.03</v>
      </c>
      <c r="M91" s="48">
        <f>VLOOKUP($A91,'Página11'!$A$1:$S$27,COLUMN(),TRUE)</f>
        <v>11889.89</v>
      </c>
      <c r="N91" s="48">
        <f>VLOOKUP($A91,'Página11'!$A$1:$S$27,COLUMN(),TRUE)</f>
        <v>29760.95</v>
      </c>
      <c r="O91" s="48">
        <f>VLOOKUP($A91,'Página11'!$A$1:$S$27,COLUMN(),TRUE)</f>
        <v>3000</v>
      </c>
      <c r="P91" s="48">
        <f>VLOOKUP($A91,'Página11'!$A$1:$S$27,COLUMN(),TRUE)</f>
        <v>19168.00275</v>
      </c>
      <c r="Q91" s="48">
        <f>VLOOKUP($A91,'Página11'!$A$1:$S$27,COLUMN(),TRUE)</f>
        <v>8620.17025</v>
      </c>
      <c r="R91" s="48">
        <f>VLOOKUP($A91,'Página11'!$A$1:$S$27,COLUMN(),TRUE)</f>
        <v>19167.95925</v>
      </c>
      <c r="S91" s="48">
        <f>VLOOKUP($A91,'Página11'!$A$1:$S$27,COLUMN(),TRUE)</f>
        <v>2175</v>
      </c>
      <c r="T91" s="73">
        <f t="shared" si="5"/>
        <v>2023</v>
      </c>
      <c r="U91" s="73">
        <f t="shared" si="6"/>
        <v>6</v>
      </c>
    </row>
    <row r="92">
      <c r="A92" s="34">
        <v>45108.0</v>
      </c>
      <c r="B92" s="48">
        <f t="shared" si="7"/>
        <v>41353.68</v>
      </c>
      <c r="C92" s="48">
        <f>ROUND(IF(MONTH($A92)=12,2.333,1)*VLOOKUP($A92,'Página11'!$A$1:$S$27,COLUMN(),TRUE),2)</f>
        <v>31403.09</v>
      </c>
      <c r="D92" s="48">
        <f t="shared" si="2"/>
        <v>32460.95</v>
      </c>
      <c r="E92" s="48">
        <f>ROUND(IF(MONTH($A92)=12,2.333,1)*VLOOKUP($A92,'Página11'!$A$1:$S$27,COLUMN(),TRUE),2)</f>
        <v>31403.09</v>
      </c>
      <c r="F92" s="48">
        <f>ROUND(IF(MONTH($A92)=12,2.333,1)*VLOOKUP($A92,'Página11'!$A$1:$S$27,COLUMN(),TRUE),2)</f>
        <v>29832.94</v>
      </c>
      <c r="G92" s="48">
        <f t="shared" si="8"/>
        <v>27572.67</v>
      </c>
      <c r="H92" s="48">
        <f>ROUND(IF(MONTH($A92)=12,2.333,1)*VLOOKUP($A92,'Página11'!$A$1:$S$27,COLUMN(),TRUE),2)</f>
        <v>20132.31</v>
      </c>
      <c r="I92" s="48">
        <f t="shared" si="4"/>
        <v>21125.46</v>
      </c>
      <c r="J92" s="48">
        <f>ROUND(IF(MONTH($A92)=12,2.333,1)*VLOOKUP($A92,'Página11'!$A$1:$S$27,COLUMN(),TRUE),2)</f>
        <v>20132.31</v>
      </c>
      <c r="K92" s="48">
        <f>ROUND(IF(MONTH($A92)=12,2.333,1)*VLOOKUP($A92,'Página11'!$A$1:$S$27,COLUMN(),TRUE),2)</f>
        <v>19210.23</v>
      </c>
      <c r="L92" s="48">
        <f>VLOOKUP($A92,'Página11'!$A$1:$S$27,COLUMN(),TRUE)</f>
        <v>29761.03</v>
      </c>
      <c r="M92" s="48">
        <f>VLOOKUP($A92,'Página11'!$A$1:$S$27,COLUMN(),TRUE)</f>
        <v>11889.89</v>
      </c>
      <c r="N92" s="48">
        <f>VLOOKUP($A92,'Página11'!$A$1:$S$27,COLUMN(),TRUE)</f>
        <v>29760.95</v>
      </c>
      <c r="O92" s="48">
        <f>VLOOKUP($A92,'Página11'!$A$1:$S$27,COLUMN(),TRUE)</f>
        <v>3000</v>
      </c>
      <c r="P92" s="48">
        <f>VLOOKUP($A92,'Página11'!$A$1:$S$27,COLUMN(),TRUE)</f>
        <v>19168.00275</v>
      </c>
      <c r="Q92" s="48">
        <f>VLOOKUP($A92,'Página11'!$A$1:$S$27,COLUMN(),TRUE)</f>
        <v>8620.17025</v>
      </c>
      <c r="R92" s="48">
        <f>VLOOKUP($A92,'Página11'!$A$1:$S$27,COLUMN(),TRUE)</f>
        <v>19167.95925</v>
      </c>
      <c r="S92" s="48">
        <f>VLOOKUP($A92,'Página11'!$A$1:$S$27,COLUMN(),TRUE)</f>
        <v>2175</v>
      </c>
      <c r="T92" s="73">
        <f t="shared" si="5"/>
        <v>2023</v>
      </c>
      <c r="U92" s="73">
        <f t="shared" si="6"/>
        <v>7</v>
      </c>
    </row>
    <row r="93">
      <c r="A93" s="34">
        <v>45139.0</v>
      </c>
      <c r="B93" s="48">
        <f t="shared" si="7"/>
        <v>41353.68</v>
      </c>
      <c r="C93" s="48">
        <f>ROUND(IF(MONTH($A93)=12,2.333,1)*VLOOKUP($A93,'Página11'!$A$1:$S$27,COLUMN(),TRUE),2)</f>
        <v>31403.09</v>
      </c>
      <c r="D93" s="48">
        <f t="shared" si="2"/>
        <v>32460.95</v>
      </c>
      <c r="E93" s="48">
        <f>ROUND(IF(MONTH($A93)=12,2.333,1)*VLOOKUP($A93,'Página11'!$A$1:$S$27,COLUMN(),TRUE),2)</f>
        <v>31403.09</v>
      </c>
      <c r="F93" s="48">
        <f>ROUND(IF(MONTH($A93)=12,2.333,1)*VLOOKUP($A93,'Página11'!$A$1:$S$27,COLUMN(),TRUE),2)</f>
        <v>29832.94</v>
      </c>
      <c r="G93" s="48">
        <f t="shared" si="8"/>
        <v>27572.67</v>
      </c>
      <c r="H93" s="48">
        <f>ROUND(IF(MONTH($A93)=12,2.333,1)*VLOOKUP($A93,'Página11'!$A$1:$S$27,COLUMN(),TRUE),2)</f>
        <v>20132.31</v>
      </c>
      <c r="I93" s="48">
        <f t="shared" si="4"/>
        <v>21125.46</v>
      </c>
      <c r="J93" s="48">
        <f>ROUND(IF(MONTH($A93)=12,2.333,1)*VLOOKUP($A93,'Página11'!$A$1:$S$27,COLUMN(),TRUE),2)</f>
        <v>20132.31</v>
      </c>
      <c r="K93" s="48">
        <f>ROUND(IF(MONTH($A93)=12,2.333,1)*VLOOKUP($A93,'Página11'!$A$1:$S$27,COLUMN(),TRUE),2)</f>
        <v>19210.23</v>
      </c>
      <c r="L93" s="48">
        <f>VLOOKUP($A93,'Página11'!$A$1:$S$27,COLUMN(),TRUE)</f>
        <v>29761.03</v>
      </c>
      <c r="M93" s="48">
        <f>VLOOKUP($A93,'Página11'!$A$1:$S$27,COLUMN(),TRUE)</f>
        <v>11889.89</v>
      </c>
      <c r="N93" s="48">
        <f>VLOOKUP($A93,'Página11'!$A$1:$S$27,COLUMN(),TRUE)</f>
        <v>29760.95</v>
      </c>
      <c r="O93" s="48">
        <f>VLOOKUP($A93,'Página11'!$A$1:$S$27,COLUMN(),TRUE)</f>
        <v>3000</v>
      </c>
      <c r="P93" s="48">
        <f>VLOOKUP($A93,'Página11'!$A$1:$S$27,COLUMN(),TRUE)</f>
        <v>19168.00275</v>
      </c>
      <c r="Q93" s="48">
        <f>VLOOKUP($A93,'Página11'!$A$1:$S$27,COLUMN(),TRUE)</f>
        <v>8620.17025</v>
      </c>
      <c r="R93" s="48">
        <f>VLOOKUP($A93,'Página11'!$A$1:$S$27,COLUMN(),TRUE)</f>
        <v>19167.95925</v>
      </c>
      <c r="S93" s="48">
        <f>VLOOKUP($A93,'Página11'!$A$1:$S$27,COLUMN(),TRUE)</f>
        <v>2175</v>
      </c>
      <c r="T93" s="73">
        <f t="shared" si="5"/>
        <v>2023</v>
      </c>
      <c r="U93" s="73">
        <f t="shared" si="6"/>
        <v>8</v>
      </c>
    </row>
    <row r="94">
      <c r="A94" s="34">
        <v>45170.0</v>
      </c>
      <c r="B94" s="48">
        <f t="shared" si="7"/>
        <v>41353.68</v>
      </c>
      <c r="C94" s="48">
        <f>ROUND(IF(MONTH($A94)=12,2.333,1)*VLOOKUP($A94,'Página11'!$A$1:$S$27,COLUMN(),TRUE),2)</f>
        <v>31403.09</v>
      </c>
      <c r="D94" s="48">
        <f t="shared" si="2"/>
        <v>32460.95</v>
      </c>
      <c r="E94" s="48">
        <f>ROUND(IF(MONTH($A94)=12,2.333,1)*VLOOKUP($A94,'Página11'!$A$1:$S$27,COLUMN(),TRUE),2)</f>
        <v>31403.09</v>
      </c>
      <c r="F94" s="48">
        <f>ROUND(IF(MONTH($A94)=12,2.333,1)*VLOOKUP($A94,'Página11'!$A$1:$S$27,COLUMN(),TRUE),2)</f>
        <v>29832.94</v>
      </c>
      <c r="G94" s="48">
        <f t="shared" si="8"/>
        <v>27572.67</v>
      </c>
      <c r="H94" s="48">
        <f>ROUND(IF(MONTH($A94)=12,2.333,1)*VLOOKUP($A94,'Página11'!$A$1:$S$27,COLUMN(),TRUE),2)</f>
        <v>20132.31</v>
      </c>
      <c r="I94" s="48">
        <f t="shared" si="4"/>
        <v>21125.46</v>
      </c>
      <c r="J94" s="48">
        <f>ROUND(IF(MONTH($A94)=12,2.333,1)*VLOOKUP($A94,'Página11'!$A$1:$S$27,COLUMN(),TRUE),2)</f>
        <v>20132.31</v>
      </c>
      <c r="K94" s="48">
        <f>ROUND(IF(MONTH($A94)=12,2.333,1)*VLOOKUP($A94,'Página11'!$A$1:$S$27,COLUMN(),TRUE),2)</f>
        <v>19210.23</v>
      </c>
      <c r="L94" s="48">
        <f>VLOOKUP($A94,'Página11'!$A$1:$S$27,COLUMN(),TRUE)</f>
        <v>29761.03</v>
      </c>
      <c r="M94" s="48">
        <f>VLOOKUP($A94,'Página11'!$A$1:$S$27,COLUMN(),TRUE)</f>
        <v>11889.89</v>
      </c>
      <c r="N94" s="48">
        <f>VLOOKUP($A94,'Página11'!$A$1:$S$27,COLUMN(),TRUE)</f>
        <v>29760.95</v>
      </c>
      <c r="O94" s="48">
        <f>VLOOKUP($A94,'Página11'!$A$1:$S$27,COLUMN(),TRUE)</f>
        <v>3000</v>
      </c>
      <c r="P94" s="48">
        <f>VLOOKUP($A94,'Página11'!$A$1:$S$27,COLUMN(),TRUE)</f>
        <v>19168.00275</v>
      </c>
      <c r="Q94" s="48">
        <f>VLOOKUP($A94,'Página11'!$A$1:$S$27,COLUMN(),TRUE)</f>
        <v>8620.17025</v>
      </c>
      <c r="R94" s="48">
        <f>VLOOKUP($A94,'Página11'!$A$1:$S$27,COLUMN(),TRUE)</f>
        <v>19167.95925</v>
      </c>
      <c r="S94" s="48">
        <f>VLOOKUP($A94,'Página11'!$A$1:$S$27,COLUMN(),TRUE)</f>
        <v>2175</v>
      </c>
      <c r="T94" s="73">
        <f t="shared" si="5"/>
        <v>2023</v>
      </c>
      <c r="U94" s="73">
        <f t="shared" si="6"/>
        <v>9</v>
      </c>
    </row>
    <row r="95">
      <c r="A95" s="34">
        <v>45200.0</v>
      </c>
      <c r="B95" s="48">
        <f t="shared" si="7"/>
        <v>41353.68</v>
      </c>
      <c r="C95" s="48">
        <f>ROUND(IF(MONTH($A95)=12,2.333,1)*VLOOKUP($A95,'Página11'!$A$1:$S$27,COLUMN(),TRUE),2)</f>
        <v>31403.09</v>
      </c>
      <c r="D95" s="48">
        <f t="shared" si="2"/>
        <v>32460.95</v>
      </c>
      <c r="E95" s="48">
        <f>ROUND(IF(MONTH($A95)=12,2.333,1)*VLOOKUP($A95,'Página11'!$A$1:$S$27,COLUMN(),TRUE),2)</f>
        <v>31403.09</v>
      </c>
      <c r="F95" s="48">
        <f>ROUND(IF(MONTH($A95)=12,2.333,1)*VLOOKUP($A95,'Página11'!$A$1:$S$27,COLUMN(),TRUE),2)</f>
        <v>29832.94</v>
      </c>
      <c r="G95" s="48">
        <f t="shared" si="8"/>
        <v>27572.67</v>
      </c>
      <c r="H95" s="48">
        <f>ROUND(IF(MONTH($A95)=12,2.333,1)*VLOOKUP($A95,'Página11'!$A$1:$S$27,COLUMN(),TRUE),2)</f>
        <v>20132.31</v>
      </c>
      <c r="I95" s="48">
        <f t="shared" si="4"/>
        <v>21125.46</v>
      </c>
      <c r="J95" s="48">
        <f>ROUND(IF(MONTH($A95)=12,2.333,1)*VLOOKUP($A95,'Página11'!$A$1:$S$27,COLUMN(),TRUE),2)</f>
        <v>20132.31</v>
      </c>
      <c r="K95" s="48">
        <f>ROUND(IF(MONTH($A95)=12,2.333,1)*VLOOKUP($A95,'Página11'!$A$1:$S$27,COLUMN(),TRUE),2)</f>
        <v>19210.23</v>
      </c>
      <c r="L95" s="48">
        <f>VLOOKUP($A95,'Página11'!$A$1:$S$27,COLUMN(),TRUE)</f>
        <v>29761.03</v>
      </c>
      <c r="M95" s="48">
        <f>VLOOKUP($A95,'Página11'!$A$1:$S$27,COLUMN(),TRUE)</f>
        <v>11889.89</v>
      </c>
      <c r="N95" s="48">
        <f>VLOOKUP($A95,'Página11'!$A$1:$S$27,COLUMN(),TRUE)</f>
        <v>29760.95</v>
      </c>
      <c r="O95" s="48">
        <f>VLOOKUP($A95,'Página11'!$A$1:$S$27,COLUMN(),TRUE)</f>
        <v>3000</v>
      </c>
      <c r="P95" s="48">
        <f>VLOOKUP($A95,'Página11'!$A$1:$S$27,COLUMN(),TRUE)</f>
        <v>19168.00275</v>
      </c>
      <c r="Q95" s="48">
        <f>VLOOKUP($A95,'Página11'!$A$1:$S$27,COLUMN(),TRUE)</f>
        <v>8620.17025</v>
      </c>
      <c r="R95" s="48">
        <f>VLOOKUP($A95,'Página11'!$A$1:$S$27,COLUMN(),TRUE)</f>
        <v>19167.95925</v>
      </c>
      <c r="S95" s="48">
        <f>VLOOKUP($A95,'Página11'!$A$1:$S$27,COLUMN(),TRUE)</f>
        <v>2175</v>
      </c>
      <c r="T95" s="73">
        <f t="shared" si="5"/>
        <v>2023</v>
      </c>
      <c r="U95" s="73">
        <f t="shared" si="6"/>
        <v>10</v>
      </c>
    </row>
    <row r="96">
      <c r="A96" s="34">
        <v>45231.0</v>
      </c>
      <c r="B96" s="48">
        <f t="shared" si="7"/>
        <v>41353.68</v>
      </c>
      <c r="C96" s="48">
        <f>ROUND(IF(MONTH($A96)=12,2.333,1)*VLOOKUP($A96,'Página11'!$A$1:$S$27,COLUMN(),TRUE),2)</f>
        <v>31403.09</v>
      </c>
      <c r="D96" s="48">
        <f t="shared" si="2"/>
        <v>32460.95</v>
      </c>
      <c r="E96" s="48">
        <f>ROUND(IF(MONTH($A96)=12,2.333,1)*VLOOKUP($A96,'Página11'!$A$1:$S$27,COLUMN(),TRUE),2)</f>
        <v>31403.09</v>
      </c>
      <c r="F96" s="48">
        <f>ROUND(IF(MONTH($A96)=12,2.333,1)*VLOOKUP($A96,'Página11'!$A$1:$S$27,COLUMN(),TRUE),2)</f>
        <v>29832.94</v>
      </c>
      <c r="G96" s="48">
        <f t="shared" si="8"/>
        <v>27572.67</v>
      </c>
      <c r="H96" s="48">
        <f>ROUND(IF(MONTH($A96)=12,2.333,1)*VLOOKUP($A96,'Página11'!$A$1:$S$27,COLUMN(),TRUE),2)</f>
        <v>20132.31</v>
      </c>
      <c r="I96" s="48">
        <f t="shared" si="4"/>
        <v>21125.46</v>
      </c>
      <c r="J96" s="48">
        <f>ROUND(IF(MONTH($A96)=12,2.333,1)*VLOOKUP($A96,'Página11'!$A$1:$S$27,COLUMN(),TRUE),2)</f>
        <v>20132.31</v>
      </c>
      <c r="K96" s="48">
        <f>ROUND(IF(MONTH($A96)=12,2.333,1)*VLOOKUP($A96,'Página11'!$A$1:$S$27,COLUMN(),TRUE),2)</f>
        <v>19210.23</v>
      </c>
      <c r="L96" s="48">
        <f>VLOOKUP($A96,'Página11'!$A$1:$S$27,COLUMN(),TRUE)</f>
        <v>29761.03</v>
      </c>
      <c r="M96" s="48">
        <f>VLOOKUP($A96,'Página11'!$A$1:$S$27,COLUMN(),TRUE)</f>
        <v>11889.89</v>
      </c>
      <c r="N96" s="48">
        <f>VLOOKUP($A96,'Página11'!$A$1:$S$27,COLUMN(),TRUE)</f>
        <v>29760.95</v>
      </c>
      <c r="O96" s="48">
        <f>VLOOKUP($A96,'Página11'!$A$1:$S$27,COLUMN(),TRUE)</f>
        <v>3000</v>
      </c>
      <c r="P96" s="48">
        <f>VLOOKUP($A96,'Página11'!$A$1:$S$27,COLUMN(),TRUE)</f>
        <v>19168.00275</v>
      </c>
      <c r="Q96" s="48">
        <f>VLOOKUP($A96,'Página11'!$A$1:$S$27,COLUMN(),TRUE)</f>
        <v>8620.17025</v>
      </c>
      <c r="R96" s="48">
        <f>VLOOKUP($A96,'Página11'!$A$1:$S$27,COLUMN(),TRUE)</f>
        <v>19167.95925</v>
      </c>
      <c r="S96" s="48">
        <f>VLOOKUP($A96,'Página11'!$A$1:$S$27,COLUMN(),TRUE)</f>
        <v>2175</v>
      </c>
      <c r="T96" s="73">
        <f t="shared" si="5"/>
        <v>2023</v>
      </c>
      <c r="U96" s="73">
        <f t="shared" si="6"/>
        <v>11</v>
      </c>
    </row>
    <row r="97">
      <c r="A97" s="34">
        <v>45261.0</v>
      </c>
      <c r="B97" s="48">
        <f t="shared" si="7"/>
        <v>96478.14</v>
      </c>
      <c r="C97" s="48">
        <f>ROUND(IF(MONTH($A97)=12,2.333,1)*VLOOKUP($A97,'Página11'!$A$1:$S$27,COLUMN(),TRUE),2)</f>
        <v>73263.42</v>
      </c>
      <c r="D97" s="48">
        <f t="shared" si="2"/>
        <v>75731.4</v>
      </c>
      <c r="E97" s="48">
        <f>ROUND(IF(MONTH($A97)=12,2.333,1)*VLOOKUP($A97,'Página11'!$A$1:$S$27,COLUMN(),TRUE),2)</f>
        <v>73263.42</v>
      </c>
      <c r="F97" s="48">
        <f>ROUND(IF(MONTH($A97)=12,2.333,1)*VLOOKUP($A97,'Página11'!$A$1:$S$27,COLUMN(),TRUE),2)</f>
        <v>69600.25</v>
      </c>
      <c r="G97" s="48">
        <f t="shared" si="8"/>
        <v>64327.05</v>
      </c>
      <c r="H97" s="48">
        <f>ROUND(IF(MONTH($A97)=12,2.333,1)*VLOOKUP($A97,'Página11'!$A$1:$S$27,COLUMN(),TRUE),2)</f>
        <v>46968.67</v>
      </c>
      <c r="I97" s="48">
        <f t="shared" si="4"/>
        <v>49285.7</v>
      </c>
      <c r="J97" s="48">
        <f>ROUND(IF(MONTH($A97)=12,2.333,1)*VLOOKUP($A97,'Página11'!$A$1:$S$27,COLUMN(),TRUE),2)</f>
        <v>46968.67</v>
      </c>
      <c r="K97" s="48">
        <f>ROUND(IF(MONTH($A97)=12,2.333,1)*VLOOKUP($A97,'Página11'!$A$1:$S$27,COLUMN(),TRUE),2)</f>
        <v>44817.48</v>
      </c>
      <c r="L97" s="48">
        <f>VLOOKUP($A97,'Página11'!$A$1:$S$27,COLUMN(),TRUE)</f>
        <v>29761.03</v>
      </c>
      <c r="M97" s="48">
        <f>VLOOKUP($A97,'Página11'!$A$1:$S$27,COLUMN(),TRUE)</f>
        <v>11889.89</v>
      </c>
      <c r="N97" s="48">
        <f>VLOOKUP($A97,'Página11'!$A$1:$S$27,COLUMN(),TRUE)</f>
        <v>29760.95</v>
      </c>
      <c r="O97" s="48">
        <f>VLOOKUP($A97,'Página11'!$A$1:$S$27,COLUMN(),TRUE)</f>
        <v>3000</v>
      </c>
      <c r="P97" s="48">
        <f>VLOOKUP($A97,'Página11'!$A$1:$S$27,COLUMN(),TRUE)</f>
        <v>19168.00275</v>
      </c>
      <c r="Q97" s="48">
        <f>VLOOKUP($A97,'Página11'!$A$1:$S$27,COLUMN(),TRUE)</f>
        <v>8620.17025</v>
      </c>
      <c r="R97" s="48">
        <f>VLOOKUP($A97,'Página11'!$A$1:$S$27,COLUMN(),TRUE)</f>
        <v>19167.95925</v>
      </c>
      <c r="S97" s="48">
        <f>VLOOKUP($A97,'Página11'!$A$1:$S$27,COLUMN(),TRUE)</f>
        <v>2175</v>
      </c>
      <c r="T97" s="73">
        <f t="shared" si="5"/>
        <v>2023</v>
      </c>
      <c r="U97" s="73">
        <f t="shared" si="6"/>
        <v>12</v>
      </c>
    </row>
    <row r="98">
      <c r="A98" s="34">
        <v>45292.0</v>
      </c>
      <c r="B98" s="48">
        <f t="shared" si="7"/>
        <v>41353.68</v>
      </c>
      <c r="C98" s="48">
        <f>ROUND(IF(MONTH($A98)=12,2.333,1)*VLOOKUP($A98,'Página11'!$A$1:$S$27,COLUMN(),TRUE),2)</f>
        <v>31403.09</v>
      </c>
      <c r="D98" s="48">
        <f t="shared" si="2"/>
        <v>32460.95</v>
      </c>
      <c r="E98" s="48">
        <f>ROUND(IF(MONTH($A98)=12,2.333,1)*VLOOKUP($A98,'Página11'!$A$1:$S$27,COLUMN(),TRUE),2)</f>
        <v>31403.09</v>
      </c>
      <c r="F98" s="48">
        <f>ROUND(IF(MONTH($A98)=12,2.333,1)*VLOOKUP($A98,'Página11'!$A$1:$S$27,COLUMN(),TRUE),2)</f>
        <v>29832.94</v>
      </c>
      <c r="G98" s="48">
        <f t="shared" si="8"/>
        <v>27603.06</v>
      </c>
      <c r="H98" s="48">
        <f>ROUND(IF(MONTH($A98)=12,2.333,1)*VLOOKUP($A98,'Página11'!$A$1:$S$27,COLUMN(),TRUE),2)</f>
        <v>20162.7</v>
      </c>
      <c r="I98" s="48">
        <f t="shared" si="4"/>
        <v>21155.85</v>
      </c>
      <c r="J98" s="48">
        <f>ROUND(IF(MONTH($A98)=12,2.333,1)*VLOOKUP($A98,'Página11'!$A$1:$S$27,COLUMN(),TRUE),2)</f>
        <v>20162.7</v>
      </c>
      <c r="K98" s="48">
        <f>ROUND(IF(MONTH($A98)=12,2.333,1)*VLOOKUP($A98,'Página11'!$A$1:$S$27,COLUMN(),TRUE),2)</f>
        <v>19240.63</v>
      </c>
      <c r="L98" s="48">
        <f>VLOOKUP($A98,'Página11'!$A$1:$S$27,COLUMN(),TRUE)</f>
        <v>29761.03</v>
      </c>
      <c r="M98" s="48">
        <f>VLOOKUP($A98,'Página11'!$A$1:$S$27,COLUMN(),TRUE)</f>
        <v>11889.89</v>
      </c>
      <c r="N98" s="48">
        <f>VLOOKUP($A98,'Página11'!$A$1:$S$27,COLUMN(),TRUE)</f>
        <v>29760.95</v>
      </c>
      <c r="O98" s="48">
        <f>VLOOKUP($A98,'Página11'!$A$1:$S$27,COLUMN(),TRUE)</f>
        <v>3000</v>
      </c>
      <c r="P98" s="48">
        <f>VLOOKUP($A98,'Página11'!$A$1:$S$27,COLUMN(),TRUE)</f>
        <v>19198.39475</v>
      </c>
      <c r="Q98" s="48">
        <f>VLOOKUP($A98,'Página11'!$A$1:$S$27,COLUMN(),TRUE)</f>
        <v>8620.17025</v>
      </c>
      <c r="R98" s="48">
        <f>VLOOKUP($A98,'Página11'!$A$1:$S$27,COLUMN(),TRUE)</f>
        <v>19198.35125</v>
      </c>
      <c r="S98" s="48">
        <f>VLOOKUP($A98,'Página11'!$A$1:$S$27,COLUMN(),TRUE)</f>
        <v>2175</v>
      </c>
      <c r="T98" s="73">
        <f t="shared" si="5"/>
        <v>2024</v>
      </c>
      <c r="U98" s="73">
        <f t="shared" si="6"/>
        <v>1</v>
      </c>
    </row>
    <row r="99">
      <c r="A99" s="34">
        <v>45323.0</v>
      </c>
      <c r="B99" s="48">
        <f t="shared" si="7"/>
        <v>43652.34</v>
      </c>
      <c r="C99" s="48">
        <f>ROUND(IF(MONTH($A99)=12,2.333,1)*VLOOKUP($A99,'Página11'!$A$1:$S$27,COLUMN(),TRUE),2)</f>
        <v>31403.09</v>
      </c>
      <c r="D99" s="48">
        <f t="shared" si="2"/>
        <v>33810.95</v>
      </c>
      <c r="E99" s="48">
        <f>ROUND(IF(MONTH($A99)=12,2.333,1)*VLOOKUP($A99,'Página11'!$A$1:$S$27,COLUMN(),TRUE),2)</f>
        <v>31403.09</v>
      </c>
      <c r="F99" s="48">
        <f>ROUND(IF(MONTH($A99)=12,2.333,1)*VLOOKUP($A99,'Página11'!$A$1:$S$27,COLUMN(),TRUE),2)</f>
        <v>29832.94</v>
      </c>
      <c r="G99" s="48">
        <f t="shared" si="8"/>
        <v>29280.63</v>
      </c>
      <c r="H99" s="48">
        <f>ROUND(IF(MONTH($A99)=12,2.333,1)*VLOOKUP($A99,'Página11'!$A$1:$S$27,COLUMN(),TRUE),2)</f>
        <v>20173.74</v>
      </c>
      <c r="I99" s="48">
        <f t="shared" si="4"/>
        <v>22145.64</v>
      </c>
      <c r="J99" s="48">
        <f>ROUND(IF(MONTH($A99)=12,2.333,1)*VLOOKUP($A99,'Página11'!$A$1:$S$27,COLUMN(),TRUE),2)</f>
        <v>20173.74</v>
      </c>
      <c r="K99" s="48">
        <f>ROUND(IF(MONTH($A99)=12,2.333,1)*VLOOKUP($A99,'Página11'!$A$1:$S$27,COLUMN(),TRUE),2)</f>
        <v>19251.67</v>
      </c>
      <c r="L99" s="48">
        <f>VLOOKUP($A99,'Página11'!$A$1:$S$27,COLUMN(),TRUE)</f>
        <v>29761.03</v>
      </c>
      <c r="M99" s="48">
        <f>VLOOKUP($A99,'Página11'!$A$1:$S$27,COLUMN(),TRUE)</f>
        <v>14247.49</v>
      </c>
      <c r="N99" s="48">
        <f>VLOOKUP($A99,'Página11'!$A$1:$S$27,COLUMN(),TRUE)</f>
        <v>29760.95</v>
      </c>
      <c r="O99" s="48">
        <f>VLOOKUP($A99,'Página11'!$A$1:$S$27,COLUMN(),TRUE)</f>
        <v>4500</v>
      </c>
      <c r="P99" s="48">
        <f>VLOOKUP($A99,'Página11'!$A$1:$S$27,COLUMN(),TRUE)</f>
        <v>19209.43475</v>
      </c>
      <c r="Q99" s="48">
        <f>VLOOKUP($A99,'Página11'!$A$1:$S$27,COLUMN(),TRUE)</f>
        <v>10329.43025</v>
      </c>
      <c r="R99" s="48">
        <f>VLOOKUP($A99,'Página11'!$A$1:$S$27,COLUMN(),TRUE)</f>
        <v>19209.39125</v>
      </c>
      <c r="S99" s="48">
        <f>VLOOKUP($A99,'Página11'!$A$1:$S$27,COLUMN(),TRUE)</f>
        <v>3262.5</v>
      </c>
      <c r="T99" s="73">
        <f t="shared" si="5"/>
        <v>2024</v>
      </c>
      <c r="U99" s="73">
        <f t="shared" si="6"/>
        <v>2</v>
      </c>
    </row>
    <row r="100">
      <c r="A100" s="34">
        <v>45352.0</v>
      </c>
      <c r="B100" s="48">
        <f t="shared" si="7"/>
        <v>43652.34</v>
      </c>
      <c r="C100" s="48">
        <f>ROUND(IF(MONTH($A100)=12,2.333,1)*VLOOKUP($A100,'Página11'!$A$1:$S$27,COLUMN(),TRUE),2)</f>
        <v>31403.09</v>
      </c>
      <c r="D100" s="48">
        <f t="shared" si="2"/>
        <v>33810.95</v>
      </c>
      <c r="E100" s="48">
        <f>ROUND(IF(MONTH($A100)=12,2.333,1)*VLOOKUP($A100,'Página11'!$A$1:$S$27,COLUMN(),TRUE),2)</f>
        <v>31403.09</v>
      </c>
      <c r="F100" s="48">
        <f>ROUND(IF(MONTH($A100)=12,2.333,1)*VLOOKUP($A100,'Página11'!$A$1:$S$27,COLUMN(),TRUE),2)</f>
        <v>29832.94</v>
      </c>
      <c r="G100" s="48">
        <f t="shared" si="8"/>
        <v>29280.63</v>
      </c>
      <c r="H100" s="48">
        <f>ROUND(IF(MONTH($A100)=12,2.333,1)*VLOOKUP($A100,'Página11'!$A$1:$S$27,COLUMN(),TRUE),2)</f>
        <v>20173.74</v>
      </c>
      <c r="I100" s="48">
        <f t="shared" si="4"/>
        <v>22145.64</v>
      </c>
      <c r="J100" s="48">
        <f>ROUND(IF(MONTH($A100)=12,2.333,1)*VLOOKUP($A100,'Página11'!$A$1:$S$27,COLUMN(),TRUE),2)</f>
        <v>20173.74</v>
      </c>
      <c r="K100" s="48">
        <f>ROUND(IF(MONTH($A100)=12,2.333,1)*VLOOKUP($A100,'Página11'!$A$1:$S$27,COLUMN(),TRUE),2)</f>
        <v>19251.67</v>
      </c>
      <c r="L100" s="48">
        <f>VLOOKUP($A100,'Página11'!$A$1:$S$27,COLUMN(),TRUE)</f>
        <v>29761.03</v>
      </c>
      <c r="M100" s="48">
        <f>VLOOKUP($A100,'Página11'!$A$1:$S$27,COLUMN(),TRUE)</f>
        <v>14247.49</v>
      </c>
      <c r="N100" s="48">
        <f>VLOOKUP($A100,'Página11'!$A$1:$S$27,COLUMN(),TRUE)</f>
        <v>29760.95</v>
      </c>
      <c r="O100" s="48">
        <f>VLOOKUP($A100,'Página11'!$A$1:$S$27,COLUMN(),TRUE)</f>
        <v>4500</v>
      </c>
      <c r="P100" s="48">
        <f>VLOOKUP($A100,'Página11'!$A$1:$S$27,COLUMN(),TRUE)</f>
        <v>19209.43475</v>
      </c>
      <c r="Q100" s="48">
        <f>VLOOKUP($A100,'Página11'!$A$1:$S$27,COLUMN(),TRUE)</f>
        <v>10329.43025</v>
      </c>
      <c r="R100" s="48">
        <f>VLOOKUP($A100,'Página11'!$A$1:$S$27,COLUMN(),TRUE)</f>
        <v>19209.39125</v>
      </c>
      <c r="S100" s="48">
        <f>VLOOKUP($A100,'Página11'!$A$1:$S$27,COLUMN(),TRUE)</f>
        <v>3262.5</v>
      </c>
      <c r="T100" s="73">
        <f t="shared" si="5"/>
        <v>2024</v>
      </c>
      <c r="U100" s="73">
        <f t="shared" si="6"/>
        <v>3</v>
      </c>
    </row>
    <row r="101">
      <c r="A101" s="34">
        <v>45383.0</v>
      </c>
      <c r="B101" s="48">
        <f t="shared" si="7"/>
        <v>43652.34</v>
      </c>
      <c r="C101" s="48">
        <f>ROUND(IF(MONTH($A101)=12,2.333,1)*VLOOKUP($A101,'Página11'!$A$1:$S$27,COLUMN(),TRUE),2)</f>
        <v>31403.09</v>
      </c>
      <c r="D101" s="48">
        <f t="shared" si="2"/>
        <v>33810.95</v>
      </c>
      <c r="E101" s="48">
        <f>ROUND(IF(MONTH($A101)=12,2.333,1)*VLOOKUP($A101,'Página11'!$A$1:$S$27,COLUMN(),TRUE),2)</f>
        <v>31403.09</v>
      </c>
      <c r="F101" s="48">
        <f>ROUND(IF(MONTH($A101)=12,2.333,1)*VLOOKUP($A101,'Página11'!$A$1:$S$27,COLUMN(),TRUE),2)</f>
        <v>29832.94</v>
      </c>
      <c r="G101" s="48">
        <f t="shared" si="8"/>
        <v>29280.63</v>
      </c>
      <c r="H101" s="48">
        <f>ROUND(IF(MONTH($A101)=12,2.333,1)*VLOOKUP($A101,'Página11'!$A$1:$S$27,COLUMN(),TRUE),2)</f>
        <v>20173.74</v>
      </c>
      <c r="I101" s="48">
        <f t="shared" si="4"/>
        <v>22145.64</v>
      </c>
      <c r="J101" s="48">
        <f>ROUND(IF(MONTH($A101)=12,2.333,1)*VLOOKUP($A101,'Página11'!$A$1:$S$27,COLUMN(),TRUE),2)</f>
        <v>20173.74</v>
      </c>
      <c r="K101" s="48">
        <f>ROUND(IF(MONTH($A101)=12,2.333,1)*VLOOKUP($A101,'Página11'!$A$1:$S$27,COLUMN(),TRUE),2)</f>
        <v>19251.67</v>
      </c>
      <c r="L101" s="48">
        <f>VLOOKUP($A101,'Página11'!$A$1:$S$27,COLUMN(),TRUE)</f>
        <v>29761.03</v>
      </c>
      <c r="M101" s="48">
        <f>VLOOKUP($A101,'Página11'!$A$1:$S$27,COLUMN(),TRUE)</f>
        <v>14247.49</v>
      </c>
      <c r="N101" s="48">
        <f>VLOOKUP($A101,'Página11'!$A$1:$S$27,COLUMN(),TRUE)</f>
        <v>29760.95</v>
      </c>
      <c r="O101" s="48">
        <f>VLOOKUP($A101,'Página11'!$A$1:$S$27,COLUMN(),TRUE)</f>
        <v>4500</v>
      </c>
      <c r="P101" s="48">
        <f>VLOOKUP($A101,'Página11'!$A$1:$S$27,COLUMN(),TRUE)</f>
        <v>19209.43475</v>
      </c>
      <c r="Q101" s="48">
        <f>VLOOKUP($A101,'Página11'!$A$1:$S$27,COLUMN(),TRUE)</f>
        <v>10329.43025</v>
      </c>
      <c r="R101" s="48">
        <f>VLOOKUP($A101,'Página11'!$A$1:$S$27,COLUMN(),TRUE)</f>
        <v>19209.39125</v>
      </c>
      <c r="S101" s="48">
        <f>VLOOKUP($A101,'Página11'!$A$1:$S$27,COLUMN(),TRUE)</f>
        <v>3262.5</v>
      </c>
      <c r="T101" s="73">
        <f t="shared" si="5"/>
        <v>2024</v>
      </c>
      <c r="U101" s="73">
        <f t="shared" si="6"/>
        <v>4</v>
      </c>
    </row>
    <row r="102">
      <c r="A102" s="34">
        <v>45413.0</v>
      </c>
      <c r="B102" s="48">
        <f t="shared" si="7"/>
        <v>43652.34</v>
      </c>
      <c r="C102" s="48">
        <f>ROUND(IF(MONTH($A102)=12,2.333,1)*VLOOKUP($A102,'Página11'!$A$1:$S$27,COLUMN(),TRUE),2)</f>
        <v>31403.09</v>
      </c>
      <c r="D102" s="48">
        <f t="shared" si="2"/>
        <v>33810.95</v>
      </c>
      <c r="E102" s="48">
        <f>ROUND(IF(MONTH($A102)=12,2.333,1)*VLOOKUP($A102,'Página11'!$A$1:$S$27,COLUMN(),TRUE),2)</f>
        <v>31403.09</v>
      </c>
      <c r="F102" s="48">
        <f>ROUND(IF(MONTH($A102)=12,2.333,1)*VLOOKUP($A102,'Página11'!$A$1:$S$27,COLUMN(),TRUE),2)</f>
        <v>29832.94</v>
      </c>
      <c r="G102" s="48">
        <f t="shared" si="8"/>
        <v>29280.63</v>
      </c>
      <c r="H102" s="48">
        <f>ROUND(IF(MONTH($A102)=12,2.333,1)*VLOOKUP($A102,'Página11'!$A$1:$S$27,COLUMN(),TRUE),2)</f>
        <v>20173.74</v>
      </c>
      <c r="I102" s="48">
        <f t="shared" si="4"/>
        <v>22145.64</v>
      </c>
      <c r="J102" s="48">
        <f>ROUND(IF(MONTH($A102)=12,2.333,1)*VLOOKUP($A102,'Página11'!$A$1:$S$27,COLUMN(),TRUE),2)</f>
        <v>20173.74</v>
      </c>
      <c r="K102" s="48">
        <f>ROUND(IF(MONTH($A102)=12,2.333,1)*VLOOKUP($A102,'Página11'!$A$1:$S$27,COLUMN(),TRUE),2)</f>
        <v>19251.67</v>
      </c>
      <c r="L102" s="48">
        <f>VLOOKUP($A102,'Página11'!$A$1:$S$27,COLUMN(),TRUE)</f>
        <v>29761.03</v>
      </c>
      <c r="M102" s="48">
        <f>VLOOKUP($A102,'Página11'!$A$1:$S$27,COLUMN(),TRUE)</f>
        <v>14247.49</v>
      </c>
      <c r="N102" s="48">
        <f>VLOOKUP($A102,'Página11'!$A$1:$S$27,COLUMN(),TRUE)</f>
        <v>29760.95</v>
      </c>
      <c r="O102" s="48">
        <f>VLOOKUP($A102,'Página11'!$A$1:$S$27,COLUMN(),TRUE)</f>
        <v>4500</v>
      </c>
      <c r="P102" s="48">
        <f>VLOOKUP($A102,'Página11'!$A$1:$S$27,COLUMN(),TRUE)</f>
        <v>19209.43475</v>
      </c>
      <c r="Q102" s="48">
        <f>VLOOKUP($A102,'Página11'!$A$1:$S$27,COLUMN(),TRUE)</f>
        <v>10329.43025</v>
      </c>
      <c r="R102" s="48">
        <f>VLOOKUP($A102,'Página11'!$A$1:$S$27,COLUMN(),TRUE)</f>
        <v>19209.39125</v>
      </c>
      <c r="S102" s="48">
        <f>VLOOKUP($A102,'Página11'!$A$1:$S$27,COLUMN(),TRUE)</f>
        <v>3262.5</v>
      </c>
      <c r="T102" s="73">
        <f t="shared" si="5"/>
        <v>2024</v>
      </c>
      <c r="U102" s="73">
        <f t="shared" si="6"/>
        <v>5</v>
      </c>
    </row>
    <row r="103">
      <c r="A103" s="34">
        <v>45444.0</v>
      </c>
      <c r="B103" s="48">
        <f t="shared" si="7"/>
        <v>43652.34</v>
      </c>
      <c r="C103" s="48">
        <f>ROUND(IF(MONTH($A103)=12,2.333,1)*VLOOKUP($A103,'Página11'!$A$1:$S$27,COLUMN(),TRUE),2)</f>
        <v>31403.09</v>
      </c>
      <c r="D103" s="48">
        <f t="shared" si="2"/>
        <v>33810.95</v>
      </c>
      <c r="E103" s="48">
        <f>ROUND(IF(MONTH($A103)=12,2.333,1)*VLOOKUP($A103,'Página11'!$A$1:$S$27,COLUMN(),TRUE),2)</f>
        <v>31403.09</v>
      </c>
      <c r="F103" s="48">
        <f>ROUND(IF(MONTH($A103)=12,2.333,1)*VLOOKUP($A103,'Página11'!$A$1:$S$27,COLUMN(),TRUE),2)</f>
        <v>29832.94</v>
      </c>
      <c r="G103" s="48">
        <f t="shared" si="8"/>
        <v>29280.63</v>
      </c>
      <c r="H103" s="48">
        <f>ROUND(IF(MONTH($A103)=12,2.333,1)*VLOOKUP($A103,'Página11'!$A$1:$S$27,COLUMN(),TRUE),2)</f>
        <v>20173.74</v>
      </c>
      <c r="I103" s="48">
        <f t="shared" si="4"/>
        <v>22145.64</v>
      </c>
      <c r="J103" s="48">
        <f>ROUND(IF(MONTH($A103)=12,2.333,1)*VLOOKUP($A103,'Página11'!$A$1:$S$27,COLUMN(),TRUE),2)</f>
        <v>20173.74</v>
      </c>
      <c r="K103" s="48">
        <f>ROUND(IF(MONTH($A103)=12,2.333,1)*VLOOKUP($A103,'Página11'!$A$1:$S$27,COLUMN(),TRUE),2)</f>
        <v>19251.67</v>
      </c>
      <c r="L103" s="48">
        <f>VLOOKUP($A103,'Página11'!$A$1:$S$27,COLUMN(),TRUE)</f>
        <v>29761.03</v>
      </c>
      <c r="M103" s="48">
        <f>VLOOKUP($A103,'Página11'!$A$1:$S$27,COLUMN(),TRUE)</f>
        <v>14247.49</v>
      </c>
      <c r="N103" s="48">
        <f>VLOOKUP($A103,'Página11'!$A$1:$S$27,COLUMN(),TRUE)</f>
        <v>29760.95</v>
      </c>
      <c r="O103" s="48">
        <f>VLOOKUP($A103,'Página11'!$A$1:$S$27,COLUMN(),TRUE)</f>
        <v>4500</v>
      </c>
      <c r="P103" s="48">
        <f>VLOOKUP($A103,'Página11'!$A$1:$S$27,COLUMN(),TRUE)</f>
        <v>19209.43475</v>
      </c>
      <c r="Q103" s="48">
        <f>VLOOKUP($A103,'Página11'!$A$1:$S$27,COLUMN(),TRUE)</f>
        <v>10329.43025</v>
      </c>
      <c r="R103" s="48">
        <f>VLOOKUP($A103,'Página11'!$A$1:$S$27,COLUMN(),TRUE)</f>
        <v>19209.39125</v>
      </c>
      <c r="S103" s="48">
        <f>VLOOKUP($A103,'Página11'!$A$1:$S$27,COLUMN(),TRUE)</f>
        <v>3262.5</v>
      </c>
      <c r="T103" s="73">
        <f t="shared" si="5"/>
        <v>2024</v>
      </c>
      <c r="U103" s="73">
        <f t="shared" si="6"/>
        <v>6</v>
      </c>
    </row>
    <row r="104">
      <c r="A104" s="34">
        <v>45474.0</v>
      </c>
      <c r="B104" s="48">
        <f t="shared" si="7"/>
        <v>43652.34</v>
      </c>
      <c r="C104" s="48">
        <f>ROUND(IF(MONTH($A104)=12,2.333,1)*VLOOKUP($A104,'Página11'!$A$1:$S$27,COLUMN(),TRUE),2)</f>
        <v>31403.09</v>
      </c>
      <c r="D104" s="48">
        <f t="shared" si="2"/>
        <v>33810.95</v>
      </c>
      <c r="E104" s="48">
        <f>ROUND(IF(MONTH($A104)=12,2.333,1)*VLOOKUP($A104,'Página11'!$A$1:$S$27,COLUMN(),TRUE),2)</f>
        <v>31403.09</v>
      </c>
      <c r="F104" s="48">
        <f>ROUND(IF(MONTH($A104)=12,2.333,1)*VLOOKUP($A104,'Página11'!$A$1:$S$27,COLUMN(),TRUE),2)</f>
        <v>29832.94</v>
      </c>
      <c r="G104" s="48">
        <f t="shared" si="8"/>
        <v>29280.63</v>
      </c>
      <c r="H104" s="48">
        <f>ROUND(IF(MONTH($A104)=12,2.333,1)*VLOOKUP($A104,'Página11'!$A$1:$S$27,COLUMN(),TRUE),2)</f>
        <v>20173.74</v>
      </c>
      <c r="I104" s="48">
        <f t="shared" si="4"/>
        <v>22145.64</v>
      </c>
      <c r="J104" s="48">
        <f>ROUND(IF(MONTH($A104)=12,2.333,1)*VLOOKUP($A104,'Página11'!$A$1:$S$27,COLUMN(),TRUE),2)</f>
        <v>20173.74</v>
      </c>
      <c r="K104" s="48">
        <f>ROUND(IF(MONTH($A104)=12,2.333,1)*VLOOKUP($A104,'Página11'!$A$1:$S$27,COLUMN(),TRUE),2)</f>
        <v>19251.67</v>
      </c>
      <c r="L104" s="48">
        <f>VLOOKUP($A104,'Página11'!$A$1:$S$27,COLUMN(),TRUE)</f>
        <v>29761.03</v>
      </c>
      <c r="M104" s="48">
        <f>VLOOKUP($A104,'Página11'!$A$1:$S$27,COLUMN(),TRUE)</f>
        <v>14247.49</v>
      </c>
      <c r="N104" s="48">
        <f>VLOOKUP($A104,'Página11'!$A$1:$S$27,COLUMN(),TRUE)</f>
        <v>29760.95</v>
      </c>
      <c r="O104" s="48">
        <f>VLOOKUP($A104,'Página11'!$A$1:$S$27,COLUMN(),TRUE)</f>
        <v>4500</v>
      </c>
      <c r="P104" s="48">
        <f>VLOOKUP($A104,'Página11'!$A$1:$S$27,COLUMN(),TRUE)</f>
        <v>19209.43475</v>
      </c>
      <c r="Q104" s="48">
        <f>VLOOKUP($A104,'Página11'!$A$1:$S$27,COLUMN(),TRUE)</f>
        <v>10329.43025</v>
      </c>
      <c r="R104" s="48">
        <f>VLOOKUP($A104,'Página11'!$A$1:$S$27,COLUMN(),TRUE)</f>
        <v>19209.39125</v>
      </c>
      <c r="S104" s="48">
        <f>VLOOKUP($A104,'Página11'!$A$1:$S$27,COLUMN(),TRUE)</f>
        <v>3262.5</v>
      </c>
      <c r="T104" s="73">
        <f t="shared" si="5"/>
        <v>2024</v>
      </c>
      <c r="U104" s="73">
        <f t="shared" si="6"/>
        <v>7</v>
      </c>
    </row>
    <row r="105">
      <c r="A105" s="34">
        <v>45505.0</v>
      </c>
      <c r="B105" s="48">
        <f t="shared" si="7"/>
        <v>43652.34</v>
      </c>
      <c r="C105" s="48">
        <f>ROUND(IF(MONTH($A105)=12,2.333,1)*VLOOKUP($A105,'Página11'!$A$1:$S$27,COLUMN(),TRUE),2)</f>
        <v>31403.09</v>
      </c>
      <c r="D105" s="48">
        <f t="shared" si="2"/>
        <v>34260.95</v>
      </c>
      <c r="E105" s="48">
        <f>ROUND(IF(MONTH($A105)=12,2.333,1)*VLOOKUP($A105,'Página11'!$A$1:$S$27,COLUMN(),TRUE),2)</f>
        <v>31403.09</v>
      </c>
      <c r="F105" s="48">
        <f>ROUND(IF(MONTH($A105)=12,2.333,1)*VLOOKUP($A105,'Página11'!$A$1:$S$27,COLUMN(),TRUE),2)</f>
        <v>29832.94</v>
      </c>
      <c r="G105" s="48">
        <f t="shared" si="8"/>
        <v>29280.63</v>
      </c>
      <c r="H105" s="48">
        <f>ROUND(IF(MONTH($A105)=12,2.333,1)*VLOOKUP($A105,'Página11'!$A$1:$S$27,COLUMN(),TRUE),2)</f>
        <v>20173.74</v>
      </c>
      <c r="I105" s="48">
        <f t="shared" si="4"/>
        <v>22471.89</v>
      </c>
      <c r="J105" s="48">
        <f>ROUND(IF(MONTH($A105)=12,2.333,1)*VLOOKUP($A105,'Página11'!$A$1:$S$27,COLUMN(),TRUE),2)</f>
        <v>20173.74</v>
      </c>
      <c r="K105" s="48">
        <f>ROUND(IF(MONTH($A105)=12,2.333,1)*VLOOKUP($A105,'Página11'!$A$1:$S$27,COLUMN(),TRUE),2)</f>
        <v>19251.67</v>
      </c>
      <c r="L105" s="48">
        <f>VLOOKUP($A105,'Página11'!$A$1:$S$27,COLUMN(),TRUE)</f>
        <v>29761.03</v>
      </c>
      <c r="M105" s="48">
        <f>VLOOKUP($A105,'Página11'!$A$1:$S$27,COLUMN(),TRUE)</f>
        <v>14247.49</v>
      </c>
      <c r="N105" s="48">
        <f>VLOOKUP($A105,'Página11'!$A$1:$S$27,COLUMN(),TRUE)</f>
        <v>29760.95</v>
      </c>
      <c r="O105" s="48">
        <f>VLOOKUP($A105,'Página11'!$A$1:$S$27,COLUMN(),TRUE)</f>
        <v>5000</v>
      </c>
      <c r="P105" s="48">
        <f>VLOOKUP($A105,'Página11'!$A$1:$S$27,COLUMN(),TRUE)</f>
        <v>19209.43475</v>
      </c>
      <c r="Q105" s="48">
        <f>VLOOKUP($A105,'Página11'!$A$1:$S$27,COLUMN(),TRUE)</f>
        <v>10329.43025</v>
      </c>
      <c r="R105" s="48">
        <f>VLOOKUP($A105,'Página11'!$A$1:$S$27,COLUMN(),TRUE)</f>
        <v>19209.39125</v>
      </c>
      <c r="S105" s="48">
        <f>VLOOKUP($A105,'Página11'!$A$1:$S$27,COLUMN(),TRUE)</f>
        <v>3625</v>
      </c>
      <c r="T105" s="73">
        <f t="shared" si="5"/>
        <v>2024</v>
      </c>
      <c r="U105" s="73">
        <f t="shared" si="6"/>
        <v>8</v>
      </c>
    </row>
    <row r="106">
      <c r="A106" s="34">
        <v>45536.0</v>
      </c>
      <c r="B106" s="48">
        <f t="shared" si="7"/>
        <v>43652.34</v>
      </c>
      <c r="C106" s="48">
        <f>ROUND(IF(MONTH($A106)=12,2.333,1)*VLOOKUP($A106,'Página11'!$A$1:$S$27,COLUMN(),TRUE),2)</f>
        <v>31403.09</v>
      </c>
      <c r="D106" s="48">
        <f t="shared" si="2"/>
        <v>34260.95</v>
      </c>
      <c r="E106" s="48">
        <f>ROUND(IF(MONTH($A106)=12,2.333,1)*VLOOKUP($A106,'Página11'!$A$1:$S$27,COLUMN(),TRUE),2)</f>
        <v>31403.09</v>
      </c>
      <c r="F106" s="48">
        <f>ROUND(IF(MONTH($A106)=12,2.333,1)*VLOOKUP($A106,'Página11'!$A$1:$S$27,COLUMN(),TRUE),2)</f>
        <v>29832.94</v>
      </c>
      <c r="G106" s="48">
        <f t="shared" si="8"/>
        <v>29280.63</v>
      </c>
      <c r="H106" s="48">
        <f>ROUND(IF(MONTH($A106)=12,2.333,1)*VLOOKUP($A106,'Página11'!$A$1:$S$27,COLUMN(),TRUE),2)</f>
        <v>20173.74</v>
      </c>
      <c r="I106" s="48">
        <f t="shared" si="4"/>
        <v>22471.89</v>
      </c>
      <c r="J106" s="48">
        <f>ROUND(IF(MONTH($A106)=12,2.333,1)*VLOOKUP($A106,'Página11'!$A$1:$S$27,COLUMN(),TRUE),2)</f>
        <v>20173.74</v>
      </c>
      <c r="K106" s="48">
        <f>ROUND(IF(MONTH($A106)=12,2.333,1)*VLOOKUP($A106,'Página11'!$A$1:$S$27,COLUMN(),TRUE),2)</f>
        <v>19251.67</v>
      </c>
      <c r="L106" s="48">
        <f>VLOOKUP($A106,'Página11'!$A$1:$S$27,COLUMN(),TRUE)</f>
        <v>29761.03</v>
      </c>
      <c r="M106" s="48">
        <f>VLOOKUP($A106,'Página11'!$A$1:$S$27,COLUMN(),TRUE)</f>
        <v>14247.49</v>
      </c>
      <c r="N106" s="48">
        <f>VLOOKUP($A106,'Página11'!$A$1:$S$27,COLUMN(),TRUE)</f>
        <v>29760.95</v>
      </c>
      <c r="O106" s="48">
        <f>VLOOKUP($A106,'Página11'!$A$1:$S$27,COLUMN(),TRUE)</f>
        <v>5000</v>
      </c>
      <c r="P106" s="48">
        <f>VLOOKUP($A106,'Página11'!$A$1:$S$27,COLUMN(),TRUE)</f>
        <v>19209.43475</v>
      </c>
      <c r="Q106" s="48">
        <f>VLOOKUP($A106,'Página11'!$A$1:$S$27,COLUMN(),TRUE)</f>
        <v>10329.43025</v>
      </c>
      <c r="R106" s="48">
        <f>VLOOKUP($A106,'Página11'!$A$1:$S$27,COLUMN(),TRUE)</f>
        <v>19209.39125</v>
      </c>
      <c r="S106" s="48">
        <f>VLOOKUP($A106,'Página11'!$A$1:$S$27,COLUMN(),TRUE)</f>
        <v>3625</v>
      </c>
      <c r="T106" s="73">
        <f t="shared" si="5"/>
        <v>2024</v>
      </c>
      <c r="U106" s="73">
        <f t="shared" si="6"/>
        <v>9</v>
      </c>
    </row>
    <row r="107">
      <c r="A107" s="34">
        <v>45566.0</v>
      </c>
      <c r="B107" s="48">
        <f t="shared" si="7"/>
        <v>43652.34</v>
      </c>
      <c r="C107" s="48">
        <f>ROUND(IF(MONTH($A107)=12,2.333,1)*VLOOKUP($A107,'Página11'!$A$1:$S$27,COLUMN(),TRUE),2)</f>
        <v>31403.09</v>
      </c>
      <c r="D107" s="48">
        <f t="shared" si="2"/>
        <v>34260.95</v>
      </c>
      <c r="E107" s="48">
        <f>ROUND(IF(MONTH($A107)=12,2.333,1)*VLOOKUP($A107,'Página11'!$A$1:$S$27,COLUMN(),TRUE),2)</f>
        <v>31403.09</v>
      </c>
      <c r="F107" s="48">
        <f>ROUND(IF(MONTH($A107)=12,2.333,1)*VLOOKUP($A107,'Página11'!$A$1:$S$27,COLUMN(),TRUE),2)</f>
        <v>29832.94</v>
      </c>
      <c r="G107" s="48">
        <f t="shared" si="8"/>
        <v>29280.63</v>
      </c>
      <c r="H107" s="48">
        <f>ROUND(IF(MONTH($A107)=12,2.333,1)*VLOOKUP($A107,'Página11'!$A$1:$S$27,COLUMN(),TRUE),2)</f>
        <v>20173.74</v>
      </c>
      <c r="I107" s="48">
        <f t="shared" si="4"/>
        <v>22471.89</v>
      </c>
      <c r="J107" s="48">
        <f>ROUND(IF(MONTH($A107)=12,2.333,1)*VLOOKUP($A107,'Página11'!$A$1:$S$27,COLUMN(),TRUE),2)</f>
        <v>20173.74</v>
      </c>
      <c r="K107" s="48">
        <f>ROUND(IF(MONTH($A107)=12,2.333,1)*VLOOKUP($A107,'Página11'!$A$1:$S$27,COLUMN(),TRUE),2)</f>
        <v>19251.67</v>
      </c>
      <c r="L107" s="48">
        <f>VLOOKUP($A107,'Página11'!$A$1:$S$27,COLUMN(),TRUE)</f>
        <v>29761.03</v>
      </c>
      <c r="M107" s="48">
        <f>VLOOKUP($A107,'Página11'!$A$1:$S$27,COLUMN(),TRUE)</f>
        <v>14247.49</v>
      </c>
      <c r="N107" s="48">
        <f>VLOOKUP($A107,'Página11'!$A$1:$S$27,COLUMN(),TRUE)</f>
        <v>29760.95</v>
      </c>
      <c r="O107" s="48">
        <f>VLOOKUP($A107,'Página11'!$A$1:$S$27,COLUMN(),TRUE)</f>
        <v>5000</v>
      </c>
      <c r="P107" s="48">
        <f>VLOOKUP($A107,'Página11'!$A$1:$S$27,COLUMN(),TRUE)</f>
        <v>19209.43475</v>
      </c>
      <c r="Q107" s="48">
        <f>VLOOKUP($A107,'Página11'!$A$1:$S$27,COLUMN(),TRUE)</f>
        <v>10329.43025</v>
      </c>
      <c r="R107" s="48">
        <f>VLOOKUP($A107,'Página11'!$A$1:$S$27,COLUMN(),TRUE)</f>
        <v>19209.39125</v>
      </c>
      <c r="S107" s="48">
        <f>VLOOKUP($A107,'Página11'!$A$1:$S$27,COLUMN(),TRUE)</f>
        <v>3625</v>
      </c>
      <c r="T107" s="73">
        <f t="shared" si="5"/>
        <v>2024</v>
      </c>
      <c r="U107" s="73">
        <f t="shared" si="6"/>
        <v>10</v>
      </c>
    </row>
    <row r="108">
      <c r="A108" s="34">
        <v>45597.0</v>
      </c>
      <c r="B108" s="48">
        <f t="shared" si="7"/>
        <v>43652.34</v>
      </c>
      <c r="C108" s="48">
        <f>ROUND(IF(MONTH($A108)=12,2.333,1)*VLOOKUP($A108,'Página11'!$A$1:$S$27,COLUMN(),TRUE),2)</f>
        <v>31403.09</v>
      </c>
      <c r="D108" s="48">
        <f t="shared" si="2"/>
        <v>34260.95</v>
      </c>
      <c r="E108" s="48">
        <f>ROUND(IF(MONTH($A108)=12,2.333,1)*VLOOKUP($A108,'Página11'!$A$1:$S$27,COLUMN(),TRUE),2)</f>
        <v>31403.09</v>
      </c>
      <c r="F108" s="48">
        <f>ROUND(IF(MONTH($A108)=12,2.333,1)*VLOOKUP($A108,'Página11'!$A$1:$S$27,COLUMN(),TRUE),2)</f>
        <v>29832.94</v>
      </c>
      <c r="G108" s="48">
        <f t="shared" si="8"/>
        <v>29280.63</v>
      </c>
      <c r="H108" s="48">
        <f>ROUND(IF(MONTH($A108)=12,2.333,1)*VLOOKUP($A108,'Página11'!$A$1:$S$27,COLUMN(),TRUE),2)</f>
        <v>20173.74</v>
      </c>
      <c r="I108" s="48">
        <f t="shared" si="4"/>
        <v>22471.89</v>
      </c>
      <c r="J108" s="48">
        <f>ROUND(IF(MONTH($A108)=12,2.333,1)*VLOOKUP($A108,'Página11'!$A$1:$S$27,COLUMN(),TRUE),2)</f>
        <v>20173.74</v>
      </c>
      <c r="K108" s="48">
        <f>ROUND(IF(MONTH($A108)=12,2.333,1)*VLOOKUP($A108,'Página11'!$A$1:$S$27,COLUMN(),TRUE),2)</f>
        <v>19251.67</v>
      </c>
      <c r="L108" s="48">
        <f>VLOOKUP($A108,'Página11'!$A$1:$S$27,COLUMN(),TRUE)</f>
        <v>29761.03</v>
      </c>
      <c r="M108" s="48">
        <f>VLOOKUP($A108,'Página11'!$A$1:$S$27,COLUMN(),TRUE)</f>
        <v>14247.49</v>
      </c>
      <c r="N108" s="48">
        <f>VLOOKUP($A108,'Página11'!$A$1:$S$27,COLUMN(),TRUE)</f>
        <v>29760.95</v>
      </c>
      <c r="O108" s="48">
        <f>VLOOKUP($A108,'Página11'!$A$1:$S$27,COLUMN(),TRUE)</f>
        <v>5000</v>
      </c>
      <c r="P108" s="48">
        <f>VLOOKUP($A108,'Página11'!$A$1:$S$27,COLUMN(),TRUE)</f>
        <v>19209.43475</v>
      </c>
      <c r="Q108" s="48">
        <f>VLOOKUP($A108,'Página11'!$A$1:$S$27,COLUMN(),TRUE)</f>
        <v>10329.43025</v>
      </c>
      <c r="R108" s="48">
        <f>VLOOKUP($A108,'Página11'!$A$1:$S$27,COLUMN(),TRUE)</f>
        <v>19209.39125</v>
      </c>
      <c r="S108" s="48">
        <f>VLOOKUP($A108,'Página11'!$A$1:$S$27,COLUMN(),TRUE)</f>
        <v>3625</v>
      </c>
      <c r="T108" s="73">
        <f t="shared" si="5"/>
        <v>2024</v>
      </c>
      <c r="U108" s="73">
        <f t="shared" si="6"/>
        <v>11</v>
      </c>
    </row>
    <row r="109">
      <c r="A109" s="34">
        <v>45627.0</v>
      </c>
      <c r="B109" s="48">
        <f t="shared" si="7"/>
        <v>101840.91</v>
      </c>
      <c r="C109" s="48">
        <f>ROUND(IF(MONTH($A109)=12,2.333,1)*VLOOKUP($A109,'Página11'!$A$1:$S$27,COLUMN(),TRUE),2)</f>
        <v>73263.42</v>
      </c>
      <c r="D109" s="48">
        <f t="shared" si="2"/>
        <v>79930.8</v>
      </c>
      <c r="E109" s="48">
        <f>ROUND(IF(MONTH($A109)=12,2.333,1)*VLOOKUP($A109,'Página11'!$A$1:$S$27,COLUMN(),TRUE),2)</f>
        <v>73263.42</v>
      </c>
      <c r="F109" s="48">
        <f>ROUND(IF(MONTH($A109)=12,2.333,1)*VLOOKUP($A109,'Página11'!$A$1:$S$27,COLUMN(),TRUE),2)</f>
        <v>69600.25</v>
      </c>
      <c r="G109" s="48">
        <f t="shared" si="8"/>
        <v>68311.72</v>
      </c>
      <c r="H109" s="48">
        <f>ROUND(IF(MONTH($A109)=12,2.333,1)*VLOOKUP($A109,'Página11'!$A$1:$S$27,COLUMN(),TRUE),2)</f>
        <v>47065.33</v>
      </c>
      <c r="I109" s="48">
        <f t="shared" si="4"/>
        <v>52426.92</v>
      </c>
      <c r="J109" s="48">
        <f>ROUND(IF(MONTH($A109)=12,2.333,1)*VLOOKUP($A109,'Página11'!$A$1:$S$27,COLUMN(),TRUE),2)</f>
        <v>47065.33</v>
      </c>
      <c r="K109" s="48">
        <f>ROUND(IF(MONTH($A109)=12,2.333,1)*VLOOKUP($A109,'Página11'!$A$1:$S$27,COLUMN(),TRUE),2)</f>
        <v>44914.14</v>
      </c>
      <c r="L109" s="48">
        <f>VLOOKUP($A109,'Página11'!$A$1:$S$27,COLUMN(),TRUE)</f>
        <v>29761.03</v>
      </c>
      <c r="M109" s="48">
        <f>VLOOKUP($A109,'Página11'!$A$1:$S$27,COLUMN(),TRUE)</f>
        <v>14247.49</v>
      </c>
      <c r="N109" s="48">
        <f>VLOOKUP($A109,'Página11'!$A$1:$S$27,COLUMN(),TRUE)</f>
        <v>29760.95</v>
      </c>
      <c r="O109" s="48">
        <f>VLOOKUP($A109,'Página11'!$A$1:$S$27,COLUMN(),TRUE)</f>
        <v>5000</v>
      </c>
      <c r="P109" s="48">
        <f>VLOOKUP($A109,'Página11'!$A$1:$S$27,COLUMN(),TRUE)</f>
        <v>19209.43475</v>
      </c>
      <c r="Q109" s="48">
        <f>VLOOKUP($A109,'Página11'!$A$1:$S$27,COLUMN(),TRUE)</f>
        <v>10329.43025</v>
      </c>
      <c r="R109" s="48">
        <f>VLOOKUP($A109,'Página11'!$A$1:$S$27,COLUMN(),TRUE)</f>
        <v>19209.39125</v>
      </c>
      <c r="S109" s="48">
        <f>VLOOKUP($A109,'Página11'!$A$1:$S$27,COLUMN(),TRUE)</f>
        <v>3625</v>
      </c>
      <c r="T109" s="73">
        <f t="shared" si="5"/>
        <v>2024</v>
      </c>
      <c r="U109" s="73">
        <f t="shared" si="6"/>
        <v>12</v>
      </c>
    </row>
    <row r="110">
      <c r="A110" s="34">
        <v>45658.0</v>
      </c>
      <c r="B110" s="48">
        <f t="shared" si="7"/>
        <v>43652.34</v>
      </c>
      <c r="C110" s="48">
        <f>ROUND(IF(MONTH($A110)=12,2.333,1)*VLOOKUP($A110,'Página11'!$A$1:$S$27,COLUMN(),TRUE),2)</f>
        <v>34827.47</v>
      </c>
      <c r="D110" s="48">
        <f t="shared" si="2"/>
        <v>34260.95</v>
      </c>
      <c r="E110" s="48">
        <f>ROUND(IF(MONTH($A110)=12,2.333,1)*VLOOKUP($A110,'Página11'!$A$1:$S$27,COLUMN(),TRUE),2)</f>
        <v>34827.47</v>
      </c>
      <c r="F110" s="48">
        <f>ROUND(IF(MONTH($A110)=12,2.333,1)*VLOOKUP($A110,'Página11'!$A$1:$S$27,COLUMN(),TRUE),2)</f>
        <v>33086.1</v>
      </c>
      <c r="G110" s="48">
        <f t="shared" si="8"/>
        <v>29280.63</v>
      </c>
      <c r="H110" s="48">
        <f>ROUND(IF(MONTH($A110)=12,2.333,1)*VLOOKUP($A110,'Página11'!$A$1:$S$27,COLUMN(),TRUE),2)</f>
        <v>22184.71</v>
      </c>
      <c r="I110" s="48">
        <f t="shared" si="4"/>
        <v>22471.89</v>
      </c>
      <c r="J110" s="48">
        <f>ROUND(IF(MONTH($A110)=12,2.333,1)*VLOOKUP($A110,'Página11'!$A$1:$S$27,COLUMN(),TRUE),2)</f>
        <v>22184.71</v>
      </c>
      <c r="K110" s="48">
        <f>ROUND(IF(MONTH($A110)=12,2.333,1)*VLOOKUP($A110,'Página11'!$A$1:$S$27,COLUMN(),TRUE),2)</f>
        <v>21162.08</v>
      </c>
      <c r="L110" s="48">
        <f>VLOOKUP($A110,'Página11'!$A$1:$S$27,COLUMN(),TRUE)</f>
        <v>29761.03</v>
      </c>
      <c r="M110" s="48">
        <f>VLOOKUP($A110,'Página11'!$A$1:$S$27,COLUMN(),TRUE)</f>
        <v>14247.49</v>
      </c>
      <c r="N110" s="48">
        <f>VLOOKUP($A110,'Página11'!$A$1:$S$27,COLUMN(),TRUE)</f>
        <v>29760.95</v>
      </c>
      <c r="O110" s="48">
        <f>VLOOKUP($A110,'Página11'!$A$1:$S$27,COLUMN(),TRUE)</f>
        <v>5000</v>
      </c>
      <c r="P110" s="48">
        <f>VLOOKUP($A110,'Página11'!$A$1:$S$27,COLUMN(),TRUE)</f>
        <v>19209.43475</v>
      </c>
      <c r="Q110" s="48">
        <f>VLOOKUP($A110,'Página11'!$A$1:$S$27,COLUMN(),TRUE)</f>
        <v>10329.43025</v>
      </c>
      <c r="R110" s="48">
        <f>VLOOKUP($A110,'Página11'!$A$1:$S$27,COLUMN(),TRUE)</f>
        <v>19209.39125</v>
      </c>
      <c r="S110" s="48">
        <f>VLOOKUP($A110,'Página11'!$A$1:$S$27,COLUMN(),TRUE)</f>
        <v>3625</v>
      </c>
      <c r="T110" s="73">
        <f t="shared" si="5"/>
        <v>2025</v>
      </c>
      <c r="U110" s="73">
        <f t="shared" si="6"/>
        <v>1</v>
      </c>
    </row>
    <row r="111">
      <c r="A111" s="34">
        <v>45689.0</v>
      </c>
      <c r="B111" s="48">
        <f t="shared" si="7"/>
        <v>45951.07</v>
      </c>
      <c r="C111" s="48">
        <f>ROUND(IF(MONTH($A111)=12,2.333,1)*VLOOKUP($A111,'Página11'!$A$1:$S$27,COLUMN(),TRUE),2)</f>
        <v>34827.47</v>
      </c>
      <c r="D111" s="48">
        <f t="shared" si="2"/>
        <v>36060.95</v>
      </c>
      <c r="E111" s="48">
        <f>ROUND(IF(MONTH($A111)=12,2.333,1)*VLOOKUP($A111,'Página11'!$A$1:$S$27,COLUMN(),TRUE),2)</f>
        <v>34827.47</v>
      </c>
      <c r="F111" s="48">
        <f>ROUND(IF(MONTH($A111)=12,2.333,1)*VLOOKUP($A111,'Página11'!$A$1:$S$27,COLUMN(),TRUE),2)</f>
        <v>33086.1</v>
      </c>
      <c r="G111" s="48">
        <f t="shared" si="8"/>
        <v>30947.21</v>
      </c>
      <c r="H111" s="48">
        <f>ROUND(IF(MONTH($A111)=12,2.333,1)*VLOOKUP($A111,'Página11'!$A$1:$S$27,COLUMN(),TRUE),2)</f>
        <v>22184.71</v>
      </c>
      <c r="I111" s="48">
        <f t="shared" si="4"/>
        <v>23776.89</v>
      </c>
      <c r="J111" s="48">
        <f>ROUND(IF(MONTH($A111)=12,2.333,1)*VLOOKUP($A111,'Página11'!$A$1:$S$27,COLUMN(),TRUE),2)</f>
        <v>22184.71</v>
      </c>
      <c r="K111" s="48">
        <f>ROUND(IF(MONTH($A111)=12,2.333,1)*VLOOKUP($A111,'Página11'!$A$1:$S$27,COLUMN(),TRUE),2)</f>
        <v>21162.08</v>
      </c>
      <c r="L111" s="48">
        <f>VLOOKUP($A111,'Página11'!$A$1:$S$27,COLUMN(),TRUE)</f>
        <v>29761.03</v>
      </c>
      <c r="M111" s="48">
        <f>VLOOKUP($A111,'Página11'!$A$1:$S$27,COLUMN(),TRUE)</f>
        <v>16605.16</v>
      </c>
      <c r="N111" s="48">
        <f>VLOOKUP($A111,'Página11'!$A$1:$S$27,COLUMN(),TRUE)</f>
        <v>29760.95</v>
      </c>
      <c r="O111" s="48">
        <f>VLOOKUP($A111,'Página11'!$A$1:$S$27,COLUMN(),TRUE)</f>
        <v>7000</v>
      </c>
      <c r="P111" s="48">
        <f>VLOOKUP($A111,'Página11'!$A$1:$S$27,COLUMN(),TRUE)</f>
        <v>19209.43475</v>
      </c>
      <c r="Q111" s="48">
        <f>VLOOKUP($A111,'Página11'!$A$1:$S$27,COLUMN(),TRUE)</f>
        <v>12038.741</v>
      </c>
      <c r="R111" s="48">
        <f>VLOOKUP($A111,'Página11'!$A$1:$S$27,COLUMN(),TRUE)</f>
        <v>19209.39125</v>
      </c>
      <c r="S111" s="48">
        <f>VLOOKUP($A111,'Página11'!$A$1:$S$27,COLUMN(),TRUE)</f>
        <v>5075</v>
      </c>
      <c r="T111" s="73">
        <f t="shared" si="5"/>
        <v>2025</v>
      </c>
      <c r="U111" s="73">
        <f t="shared" si="6"/>
        <v>2</v>
      </c>
    </row>
    <row r="112">
      <c r="A112" s="34">
        <v>45717.0</v>
      </c>
      <c r="B112" s="48">
        <f t="shared" si="7"/>
        <v>45951.07</v>
      </c>
      <c r="C112" s="48">
        <f>ROUND(IF(MONTH($A112)=12,2.333,1)*VLOOKUP($A112,'Página11'!$A$1:$S$27,COLUMN(),TRUE),2)</f>
        <v>34827.47</v>
      </c>
      <c r="D112" s="48">
        <f t="shared" si="2"/>
        <v>36060.95</v>
      </c>
      <c r="E112" s="48">
        <f>ROUND(IF(MONTH($A112)=12,2.333,1)*VLOOKUP($A112,'Página11'!$A$1:$S$27,COLUMN(),TRUE),2)</f>
        <v>34827.47</v>
      </c>
      <c r="F112" s="48">
        <f>ROUND(IF(MONTH($A112)=12,2.333,1)*VLOOKUP($A112,'Página11'!$A$1:$S$27,COLUMN(),TRUE),2)</f>
        <v>33086.1</v>
      </c>
      <c r="G112" s="48">
        <f t="shared" si="8"/>
        <v>30947.21</v>
      </c>
      <c r="H112" s="48">
        <f>ROUND(IF(MONTH($A112)=12,2.333,1)*VLOOKUP($A112,'Página11'!$A$1:$S$27,COLUMN(),TRUE),2)</f>
        <v>22184.71</v>
      </c>
      <c r="I112" s="48">
        <f t="shared" si="4"/>
        <v>23776.89</v>
      </c>
      <c r="J112" s="48">
        <f>ROUND(IF(MONTH($A112)=12,2.333,1)*VLOOKUP($A112,'Página11'!$A$1:$S$27,COLUMN(),TRUE),2)</f>
        <v>22184.71</v>
      </c>
      <c r="K112" s="48">
        <f>ROUND(IF(MONTH($A112)=12,2.333,1)*VLOOKUP($A112,'Página11'!$A$1:$S$27,COLUMN(),TRUE),2)</f>
        <v>21162.08</v>
      </c>
      <c r="L112" s="48">
        <f>VLOOKUP($A112,'Página11'!$A$1:$S$27,COLUMN(),TRUE)</f>
        <v>29761.03</v>
      </c>
      <c r="M112" s="48">
        <f>VLOOKUP($A112,'Página11'!$A$1:$S$27,COLUMN(),TRUE)</f>
        <v>16605.16</v>
      </c>
      <c r="N112" s="48">
        <f>VLOOKUP($A112,'Página11'!$A$1:$S$27,COLUMN(),TRUE)</f>
        <v>29760.95</v>
      </c>
      <c r="O112" s="48">
        <f>VLOOKUP($A112,'Página11'!$A$1:$S$27,COLUMN(),TRUE)</f>
        <v>7000</v>
      </c>
      <c r="P112" s="48">
        <f>VLOOKUP($A112,'Página11'!$A$1:$S$27,COLUMN(),TRUE)</f>
        <v>19209.43475</v>
      </c>
      <c r="Q112" s="48">
        <f>VLOOKUP($A112,'Página11'!$A$1:$S$27,COLUMN(),TRUE)</f>
        <v>12038.741</v>
      </c>
      <c r="R112" s="48">
        <f>VLOOKUP($A112,'Página11'!$A$1:$S$27,COLUMN(),TRUE)</f>
        <v>19209.39125</v>
      </c>
      <c r="S112" s="48">
        <f>VLOOKUP($A112,'Página11'!$A$1:$S$27,COLUMN(),TRUE)</f>
        <v>5075</v>
      </c>
      <c r="T112" s="73">
        <f t="shared" si="5"/>
        <v>2025</v>
      </c>
      <c r="U112" s="73">
        <f t="shared" si="6"/>
        <v>3</v>
      </c>
    </row>
    <row r="113">
      <c r="A113" s="34">
        <v>45748.0</v>
      </c>
      <c r="B113" s="48">
        <f t="shared" si="7"/>
        <v>45951.07</v>
      </c>
      <c r="C113" s="48">
        <f>ROUND(IF(MONTH($A113)=12,2.333,1)*VLOOKUP($A113,'Página11'!$A$1:$S$27,COLUMN(),TRUE),2)</f>
        <v>34827.47</v>
      </c>
      <c r="D113" s="48">
        <f t="shared" si="2"/>
        <v>36060.95</v>
      </c>
      <c r="E113" s="48">
        <f>ROUND(IF(MONTH($A113)=12,2.333,1)*VLOOKUP($A113,'Página11'!$A$1:$S$27,COLUMN(),TRUE),2)</f>
        <v>34827.47</v>
      </c>
      <c r="F113" s="48">
        <f>ROUND(IF(MONTH($A113)=12,2.333,1)*VLOOKUP($A113,'Página11'!$A$1:$S$27,COLUMN(),TRUE),2)</f>
        <v>33086.1</v>
      </c>
      <c r="G113" s="48">
        <f t="shared" si="8"/>
        <v>30947.21</v>
      </c>
      <c r="H113" s="48">
        <f>ROUND(IF(MONTH($A113)=12,2.333,1)*VLOOKUP($A113,'Página11'!$A$1:$S$27,COLUMN(),TRUE),2)</f>
        <v>22184.71</v>
      </c>
      <c r="I113" s="48">
        <f t="shared" si="4"/>
        <v>23776.89</v>
      </c>
      <c r="J113" s="48">
        <f>ROUND(IF(MONTH($A113)=12,2.333,1)*VLOOKUP($A113,'Página11'!$A$1:$S$27,COLUMN(),TRUE),2)</f>
        <v>22184.71</v>
      </c>
      <c r="K113" s="48">
        <f>ROUND(IF(MONTH($A113)=12,2.333,1)*VLOOKUP($A113,'Página11'!$A$1:$S$27,COLUMN(),TRUE),2)</f>
        <v>21162.08</v>
      </c>
      <c r="L113" s="48">
        <f>VLOOKUP($A113,'Página11'!$A$1:$S$27,COLUMN(),TRUE)</f>
        <v>29761.03</v>
      </c>
      <c r="M113" s="48">
        <f>VLOOKUP($A113,'Página11'!$A$1:$S$27,COLUMN(),TRUE)</f>
        <v>16605.16</v>
      </c>
      <c r="N113" s="48">
        <f>VLOOKUP($A113,'Página11'!$A$1:$S$27,COLUMN(),TRUE)</f>
        <v>29760.95</v>
      </c>
      <c r="O113" s="48">
        <f>VLOOKUP($A113,'Página11'!$A$1:$S$27,COLUMN(),TRUE)</f>
        <v>7000</v>
      </c>
      <c r="P113" s="48">
        <f>VLOOKUP($A113,'Página11'!$A$1:$S$27,COLUMN(),TRUE)</f>
        <v>19209.43475</v>
      </c>
      <c r="Q113" s="48">
        <f>VLOOKUP($A113,'Página11'!$A$1:$S$27,COLUMN(),TRUE)</f>
        <v>12038.741</v>
      </c>
      <c r="R113" s="48">
        <f>VLOOKUP($A113,'Página11'!$A$1:$S$27,COLUMN(),TRUE)</f>
        <v>19209.39125</v>
      </c>
      <c r="S113" s="48">
        <f>VLOOKUP($A113,'Página11'!$A$1:$S$27,COLUMN(),TRUE)</f>
        <v>5075</v>
      </c>
      <c r="T113" s="73">
        <f t="shared" si="5"/>
        <v>2025</v>
      </c>
      <c r="U113" s="73">
        <f t="shared" si="6"/>
        <v>4</v>
      </c>
    </row>
    <row r="114">
      <c r="A114" s="34">
        <v>45778.0</v>
      </c>
      <c r="B114" s="48">
        <f t="shared" si="7"/>
        <v>45951.07</v>
      </c>
      <c r="C114" s="48">
        <f>ROUND(IF(MONTH($A114)=12,2.333,1)*VLOOKUP($A114,'Página11'!$A$1:$S$27,COLUMN(),TRUE),2)</f>
        <v>34827.47</v>
      </c>
      <c r="D114" s="48">
        <f t="shared" si="2"/>
        <v>36060.95</v>
      </c>
      <c r="E114" s="48">
        <f>ROUND(IF(MONTH($A114)=12,2.333,1)*VLOOKUP($A114,'Página11'!$A$1:$S$27,COLUMN(),TRUE),2)</f>
        <v>34827.47</v>
      </c>
      <c r="F114" s="48">
        <f>ROUND(IF(MONTH($A114)=12,2.333,1)*VLOOKUP($A114,'Página11'!$A$1:$S$27,COLUMN(),TRUE),2)</f>
        <v>33086.1</v>
      </c>
      <c r="G114" s="48">
        <f t="shared" si="8"/>
        <v>30947.21</v>
      </c>
      <c r="H114" s="48">
        <f>ROUND(IF(MONTH($A114)=12,2.333,1)*VLOOKUP($A114,'Página11'!$A$1:$S$27,COLUMN(),TRUE),2)</f>
        <v>22184.71</v>
      </c>
      <c r="I114" s="48">
        <f t="shared" si="4"/>
        <v>23776.89</v>
      </c>
      <c r="J114" s="48">
        <f>ROUND(IF(MONTH($A114)=12,2.333,1)*VLOOKUP($A114,'Página11'!$A$1:$S$27,COLUMN(),TRUE),2)</f>
        <v>22184.71</v>
      </c>
      <c r="K114" s="48">
        <f>ROUND(IF(MONTH($A114)=12,2.333,1)*VLOOKUP($A114,'Página11'!$A$1:$S$27,COLUMN(),TRUE),2)</f>
        <v>21162.08</v>
      </c>
      <c r="L114" s="48">
        <f>VLOOKUP($A114,'Página11'!$A$1:$S$27,COLUMN(),TRUE)</f>
        <v>29761.03</v>
      </c>
      <c r="M114" s="48">
        <f>VLOOKUP($A114,'Página11'!$A$1:$S$27,COLUMN(),TRUE)</f>
        <v>16605.16</v>
      </c>
      <c r="N114" s="48">
        <f>VLOOKUP($A114,'Página11'!$A$1:$S$27,COLUMN(),TRUE)</f>
        <v>29760.95</v>
      </c>
      <c r="O114" s="48">
        <f>VLOOKUP($A114,'Página11'!$A$1:$S$27,COLUMN(),TRUE)</f>
        <v>7000</v>
      </c>
      <c r="P114" s="48">
        <f>VLOOKUP($A114,'Página11'!$A$1:$S$27,COLUMN(),TRUE)</f>
        <v>19209.43475</v>
      </c>
      <c r="Q114" s="48">
        <f>VLOOKUP($A114,'Página11'!$A$1:$S$27,COLUMN(),TRUE)</f>
        <v>12038.741</v>
      </c>
      <c r="R114" s="48">
        <f>VLOOKUP($A114,'Página11'!$A$1:$S$27,COLUMN(),TRUE)</f>
        <v>19209.39125</v>
      </c>
      <c r="S114" s="48">
        <f>VLOOKUP($A114,'Página11'!$A$1:$S$27,COLUMN(),TRUE)</f>
        <v>5075</v>
      </c>
      <c r="T114" s="73">
        <f t="shared" si="5"/>
        <v>2025</v>
      </c>
      <c r="U114" s="73">
        <f t="shared" si="6"/>
        <v>5</v>
      </c>
    </row>
    <row r="115">
      <c r="A115" s="34">
        <v>45809.0</v>
      </c>
      <c r="B115" s="48">
        <f t="shared" si="7"/>
        <v>45951.07</v>
      </c>
      <c r="C115" s="48">
        <f>ROUND(IF(MONTH($A115)=12,2.333,1)*VLOOKUP($A115,'Página11'!$A$1:$S$27,COLUMN(),TRUE),2)</f>
        <v>34827.47</v>
      </c>
      <c r="D115" s="48">
        <f t="shared" si="2"/>
        <v>36060.95</v>
      </c>
      <c r="E115" s="48">
        <f>ROUND(IF(MONTH($A115)=12,2.333,1)*VLOOKUP($A115,'Página11'!$A$1:$S$27,COLUMN(),TRUE),2)</f>
        <v>34827.47</v>
      </c>
      <c r="F115" s="48">
        <f>ROUND(IF(MONTH($A115)=12,2.333,1)*VLOOKUP($A115,'Página11'!$A$1:$S$27,COLUMN(),TRUE),2)</f>
        <v>33086.1</v>
      </c>
      <c r="G115" s="48">
        <f t="shared" si="8"/>
        <v>30947.21</v>
      </c>
      <c r="H115" s="48">
        <f>ROUND(IF(MONTH($A115)=12,2.333,1)*VLOOKUP($A115,'Página11'!$A$1:$S$27,COLUMN(),TRUE),2)</f>
        <v>22184.71</v>
      </c>
      <c r="I115" s="48">
        <f t="shared" si="4"/>
        <v>23776.89</v>
      </c>
      <c r="J115" s="48">
        <f>ROUND(IF(MONTH($A115)=12,2.333,1)*VLOOKUP($A115,'Página11'!$A$1:$S$27,COLUMN(),TRUE),2)</f>
        <v>22184.71</v>
      </c>
      <c r="K115" s="48">
        <f>ROUND(IF(MONTH($A115)=12,2.333,1)*VLOOKUP($A115,'Página11'!$A$1:$S$27,COLUMN(),TRUE),2)</f>
        <v>21162.08</v>
      </c>
      <c r="L115" s="48">
        <f>VLOOKUP($A115,'Página11'!$A$1:$S$27,COLUMN(),TRUE)</f>
        <v>29761.03</v>
      </c>
      <c r="M115" s="48">
        <f>VLOOKUP($A115,'Página11'!$A$1:$S$27,COLUMN(),TRUE)</f>
        <v>16605.16</v>
      </c>
      <c r="N115" s="48">
        <f>VLOOKUP($A115,'Página11'!$A$1:$S$27,COLUMN(),TRUE)</f>
        <v>29760.95</v>
      </c>
      <c r="O115" s="48">
        <f>VLOOKUP($A115,'Página11'!$A$1:$S$27,COLUMN(),TRUE)</f>
        <v>7000</v>
      </c>
      <c r="P115" s="48">
        <f>VLOOKUP($A115,'Página11'!$A$1:$S$27,COLUMN(),TRUE)</f>
        <v>19209.43475</v>
      </c>
      <c r="Q115" s="48">
        <f>VLOOKUP($A115,'Página11'!$A$1:$S$27,COLUMN(),TRUE)</f>
        <v>12038.741</v>
      </c>
      <c r="R115" s="48">
        <f>VLOOKUP($A115,'Página11'!$A$1:$S$27,COLUMN(),TRUE)</f>
        <v>19209.39125</v>
      </c>
      <c r="S115" s="48">
        <f>VLOOKUP($A115,'Página11'!$A$1:$S$27,COLUMN(),TRUE)</f>
        <v>5075</v>
      </c>
      <c r="T115" s="73">
        <f t="shared" si="5"/>
        <v>2025</v>
      </c>
      <c r="U115" s="73">
        <f t="shared" si="6"/>
        <v>6</v>
      </c>
    </row>
    <row r="116">
      <c r="A116" s="34">
        <v>45839.0</v>
      </c>
      <c r="B116" s="48">
        <f t="shared" si="7"/>
        <v>45951.07</v>
      </c>
      <c r="C116" s="48">
        <f>ROUND(IF(MONTH($A116)=12,2.333,1)*VLOOKUP($A116,'Página11'!$A$1:$S$27,COLUMN(),TRUE),2)</f>
        <v>34827.47</v>
      </c>
      <c r="D116" s="48">
        <f t="shared" si="2"/>
        <v>36060.95</v>
      </c>
      <c r="E116" s="48">
        <f>ROUND(IF(MONTH($A116)=12,2.333,1)*VLOOKUP($A116,'Página11'!$A$1:$S$27,COLUMN(),TRUE),2)</f>
        <v>34827.47</v>
      </c>
      <c r="F116" s="48">
        <f>ROUND(IF(MONTH($A116)=12,2.333,1)*VLOOKUP($A116,'Página11'!$A$1:$S$27,COLUMN(),TRUE),2)</f>
        <v>33086.1</v>
      </c>
      <c r="G116" s="48">
        <f t="shared" si="8"/>
        <v>30947.21</v>
      </c>
      <c r="H116" s="48">
        <f>ROUND(IF(MONTH($A116)=12,2.333,1)*VLOOKUP($A116,'Página11'!$A$1:$S$27,COLUMN(),TRUE),2)</f>
        <v>22184.71</v>
      </c>
      <c r="I116" s="48">
        <f t="shared" si="4"/>
        <v>23776.89</v>
      </c>
      <c r="J116" s="48">
        <f>ROUND(IF(MONTH($A116)=12,2.333,1)*VLOOKUP($A116,'Página11'!$A$1:$S$27,COLUMN(),TRUE),2)</f>
        <v>22184.71</v>
      </c>
      <c r="K116" s="48">
        <f>ROUND(IF(MONTH($A116)=12,2.333,1)*VLOOKUP($A116,'Página11'!$A$1:$S$27,COLUMN(),TRUE),2)</f>
        <v>21162.08</v>
      </c>
      <c r="L116" s="48">
        <f>VLOOKUP($A116,'Página11'!$A$1:$S$27,COLUMN(),TRUE)</f>
        <v>29761.03</v>
      </c>
      <c r="M116" s="48">
        <f>VLOOKUP($A116,'Página11'!$A$1:$S$27,COLUMN(),TRUE)</f>
        <v>16605.16</v>
      </c>
      <c r="N116" s="48">
        <f>VLOOKUP($A116,'Página11'!$A$1:$S$27,COLUMN(),TRUE)</f>
        <v>29760.95</v>
      </c>
      <c r="O116" s="48">
        <f>VLOOKUP($A116,'Página11'!$A$1:$S$27,COLUMN(),TRUE)</f>
        <v>7000</v>
      </c>
      <c r="P116" s="48">
        <f>VLOOKUP($A116,'Página11'!$A$1:$S$27,COLUMN(),TRUE)</f>
        <v>19209.43475</v>
      </c>
      <c r="Q116" s="48">
        <f>VLOOKUP($A116,'Página11'!$A$1:$S$27,COLUMN(),TRUE)</f>
        <v>12038.741</v>
      </c>
      <c r="R116" s="48">
        <f>VLOOKUP($A116,'Página11'!$A$1:$S$27,COLUMN(),TRUE)</f>
        <v>19209.39125</v>
      </c>
      <c r="S116" s="48">
        <f>VLOOKUP($A116,'Página11'!$A$1:$S$27,COLUMN(),TRUE)</f>
        <v>5075</v>
      </c>
      <c r="T116" s="73">
        <f t="shared" si="5"/>
        <v>2025</v>
      </c>
      <c r="U116" s="73">
        <f t="shared" si="6"/>
        <v>7</v>
      </c>
    </row>
    <row r="117">
      <c r="A117" s="34">
        <v>45870.0</v>
      </c>
      <c r="B117" s="48">
        <f t="shared" si="7"/>
        <v>45951.07</v>
      </c>
      <c r="C117" s="48">
        <f>ROUND(IF(MONTH($A117)=12,2.333,1)*VLOOKUP($A117,'Página11'!$A$1:$S$27,COLUMN(),TRUE),2)</f>
        <v>34827.47</v>
      </c>
      <c r="D117" s="48">
        <f t="shared" si="2"/>
        <v>36060.95</v>
      </c>
      <c r="E117" s="48">
        <f>ROUND(IF(MONTH($A117)=12,2.333,1)*VLOOKUP($A117,'Página11'!$A$1:$S$27,COLUMN(),TRUE),2)</f>
        <v>34827.47</v>
      </c>
      <c r="F117" s="48">
        <f>ROUND(IF(MONTH($A117)=12,2.333,1)*VLOOKUP($A117,'Página11'!$A$1:$S$27,COLUMN(),TRUE),2)</f>
        <v>33086.1</v>
      </c>
      <c r="G117" s="48">
        <f t="shared" si="8"/>
        <v>30947.21</v>
      </c>
      <c r="H117" s="48">
        <f>ROUND(IF(MONTH($A117)=12,2.333,1)*VLOOKUP($A117,'Página11'!$A$1:$S$27,COLUMN(),TRUE),2)</f>
        <v>22184.71</v>
      </c>
      <c r="I117" s="48">
        <f t="shared" si="4"/>
        <v>23776.89</v>
      </c>
      <c r="J117" s="48">
        <f>ROUND(IF(MONTH($A117)=12,2.333,1)*VLOOKUP($A117,'Página11'!$A$1:$S$27,COLUMN(),TRUE),2)</f>
        <v>22184.71</v>
      </c>
      <c r="K117" s="48">
        <f>ROUND(IF(MONTH($A117)=12,2.333,1)*VLOOKUP($A117,'Página11'!$A$1:$S$27,COLUMN(),TRUE),2)</f>
        <v>21162.08</v>
      </c>
      <c r="L117" s="48">
        <f>VLOOKUP($A117,'Página11'!$A$1:$S$27,COLUMN(),TRUE)</f>
        <v>29761.03</v>
      </c>
      <c r="M117" s="48">
        <f>VLOOKUP($A117,'Página11'!$A$1:$S$27,COLUMN(),TRUE)</f>
        <v>16605.16</v>
      </c>
      <c r="N117" s="48">
        <f>VLOOKUP($A117,'Página11'!$A$1:$S$27,COLUMN(),TRUE)</f>
        <v>29760.95</v>
      </c>
      <c r="O117" s="48">
        <f>VLOOKUP($A117,'Página11'!$A$1:$S$27,COLUMN(),TRUE)</f>
        <v>7000</v>
      </c>
      <c r="P117" s="48">
        <f>VLOOKUP($A117,'Página11'!$A$1:$S$27,COLUMN(),TRUE)</f>
        <v>19209.43475</v>
      </c>
      <c r="Q117" s="48">
        <f>VLOOKUP($A117,'Página11'!$A$1:$S$27,COLUMN(),TRUE)</f>
        <v>12038.741</v>
      </c>
      <c r="R117" s="48">
        <f>VLOOKUP($A117,'Página11'!$A$1:$S$27,COLUMN(),TRUE)</f>
        <v>19209.39125</v>
      </c>
      <c r="S117" s="48">
        <f>VLOOKUP($A117,'Página11'!$A$1:$S$27,COLUMN(),TRUE)</f>
        <v>5075</v>
      </c>
      <c r="T117" s="73">
        <f t="shared" si="5"/>
        <v>2025</v>
      </c>
      <c r="U117" s="73">
        <f t="shared" si="6"/>
        <v>8</v>
      </c>
    </row>
    <row r="118">
      <c r="A118" s="34">
        <v>45901.0</v>
      </c>
      <c r="B118" s="48">
        <f t="shared" si="7"/>
        <v>45951.07</v>
      </c>
      <c r="C118" s="48">
        <f>ROUND(IF(MONTH($A118)=12,2.333,1)*VLOOKUP($A118,'Página11'!$A$1:$S$27,COLUMN(),TRUE),2)</f>
        <v>34827.47</v>
      </c>
      <c r="D118" s="48">
        <f t="shared" si="2"/>
        <v>36060.95</v>
      </c>
      <c r="E118" s="48">
        <f>ROUND(IF(MONTH($A118)=12,2.333,1)*VLOOKUP($A118,'Página11'!$A$1:$S$27,COLUMN(),TRUE),2)</f>
        <v>34827.47</v>
      </c>
      <c r="F118" s="48">
        <f>ROUND(IF(MONTH($A118)=12,2.333,1)*VLOOKUP($A118,'Página11'!$A$1:$S$27,COLUMN(),TRUE),2)</f>
        <v>33086.1</v>
      </c>
      <c r="G118" s="48">
        <f t="shared" si="8"/>
        <v>30947.21</v>
      </c>
      <c r="H118" s="48">
        <f>ROUND(IF(MONTH($A118)=12,2.333,1)*VLOOKUP($A118,'Página11'!$A$1:$S$27,COLUMN(),TRUE),2)</f>
        <v>22184.71</v>
      </c>
      <c r="I118" s="48">
        <f t="shared" si="4"/>
        <v>23776.89</v>
      </c>
      <c r="J118" s="48">
        <f>ROUND(IF(MONTH($A118)=12,2.333,1)*VLOOKUP($A118,'Página11'!$A$1:$S$27,COLUMN(),TRUE),2)</f>
        <v>22184.71</v>
      </c>
      <c r="K118" s="48">
        <f>ROUND(IF(MONTH($A118)=12,2.333,1)*VLOOKUP($A118,'Página11'!$A$1:$S$27,COLUMN(),TRUE),2)</f>
        <v>21162.08</v>
      </c>
      <c r="L118" s="48">
        <f>VLOOKUP($A118,'Página11'!$A$1:$S$27,COLUMN(),TRUE)</f>
        <v>29761.03</v>
      </c>
      <c r="M118" s="48">
        <f>VLOOKUP($A118,'Página11'!$A$1:$S$27,COLUMN(),TRUE)</f>
        <v>16605.16</v>
      </c>
      <c r="N118" s="48">
        <f>VLOOKUP($A118,'Página11'!$A$1:$S$27,COLUMN(),TRUE)</f>
        <v>29760.95</v>
      </c>
      <c r="O118" s="48">
        <f>VLOOKUP($A118,'Página11'!$A$1:$S$27,COLUMN(),TRUE)</f>
        <v>7000</v>
      </c>
      <c r="P118" s="48">
        <f>VLOOKUP($A118,'Página11'!$A$1:$S$27,COLUMN(),TRUE)</f>
        <v>19209.43475</v>
      </c>
      <c r="Q118" s="48">
        <f>VLOOKUP($A118,'Página11'!$A$1:$S$27,COLUMN(),TRUE)</f>
        <v>12038.741</v>
      </c>
      <c r="R118" s="48">
        <f>VLOOKUP($A118,'Página11'!$A$1:$S$27,COLUMN(),TRUE)</f>
        <v>19209.39125</v>
      </c>
      <c r="S118" s="48">
        <f>VLOOKUP($A118,'Página11'!$A$1:$S$27,COLUMN(),TRUE)</f>
        <v>5075</v>
      </c>
      <c r="T118" s="73">
        <f t="shared" si="5"/>
        <v>2025</v>
      </c>
      <c r="U118" s="73">
        <f t="shared" si="6"/>
        <v>9</v>
      </c>
    </row>
    <row r="119">
      <c r="A119" s="34">
        <v>45931.0</v>
      </c>
      <c r="B119" s="48">
        <f t="shared" si="7"/>
        <v>45951.07</v>
      </c>
      <c r="C119" s="48">
        <f>ROUND(IF(MONTH($A119)=12,2.333,1)*VLOOKUP($A119,'Página11'!$A$1:$S$27,COLUMN(),TRUE),2)</f>
        <v>34827.47</v>
      </c>
      <c r="D119" s="48">
        <f t="shared" si="2"/>
        <v>36060.95</v>
      </c>
      <c r="E119" s="48">
        <f>ROUND(IF(MONTH($A119)=12,2.333,1)*VLOOKUP($A119,'Página11'!$A$1:$S$27,COLUMN(),TRUE),2)</f>
        <v>34827.47</v>
      </c>
      <c r="F119" s="48">
        <f>ROUND(IF(MONTH($A119)=12,2.333,1)*VLOOKUP($A119,'Página11'!$A$1:$S$27,COLUMN(),TRUE),2)</f>
        <v>33086.1</v>
      </c>
      <c r="G119" s="48">
        <f t="shared" si="8"/>
        <v>30947.21</v>
      </c>
      <c r="H119" s="48">
        <f>ROUND(IF(MONTH($A119)=12,2.333,1)*VLOOKUP($A119,'Página11'!$A$1:$S$27,COLUMN(),TRUE),2)</f>
        <v>22184.71</v>
      </c>
      <c r="I119" s="48">
        <f t="shared" si="4"/>
        <v>23776.89</v>
      </c>
      <c r="J119" s="48">
        <f>ROUND(IF(MONTH($A119)=12,2.333,1)*VLOOKUP($A119,'Página11'!$A$1:$S$27,COLUMN(),TRUE),2)</f>
        <v>22184.71</v>
      </c>
      <c r="K119" s="48">
        <f>ROUND(IF(MONTH($A119)=12,2.333,1)*VLOOKUP($A119,'Página11'!$A$1:$S$27,COLUMN(),TRUE),2)</f>
        <v>21162.08</v>
      </c>
      <c r="L119" s="48">
        <f>VLOOKUP($A119,'Página11'!$A$1:$S$27,COLUMN(),TRUE)</f>
        <v>29761.03</v>
      </c>
      <c r="M119" s="48">
        <f>VLOOKUP($A119,'Página11'!$A$1:$S$27,COLUMN(),TRUE)</f>
        <v>16605.16</v>
      </c>
      <c r="N119" s="48">
        <f>VLOOKUP($A119,'Página11'!$A$1:$S$27,COLUMN(),TRUE)</f>
        <v>29760.95</v>
      </c>
      <c r="O119" s="48">
        <f>VLOOKUP($A119,'Página11'!$A$1:$S$27,COLUMN(),TRUE)</f>
        <v>7000</v>
      </c>
      <c r="P119" s="48">
        <f>VLOOKUP($A119,'Página11'!$A$1:$S$27,COLUMN(),TRUE)</f>
        <v>19209.43475</v>
      </c>
      <c r="Q119" s="48">
        <f>VLOOKUP($A119,'Página11'!$A$1:$S$27,COLUMN(),TRUE)</f>
        <v>12038.741</v>
      </c>
      <c r="R119" s="48">
        <f>VLOOKUP($A119,'Página11'!$A$1:$S$27,COLUMN(),TRUE)</f>
        <v>19209.39125</v>
      </c>
      <c r="S119" s="48">
        <f>VLOOKUP($A119,'Página11'!$A$1:$S$27,COLUMN(),TRUE)</f>
        <v>5075</v>
      </c>
      <c r="T119" s="73">
        <f t="shared" si="5"/>
        <v>2025</v>
      </c>
      <c r="U119" s="73">
        <f t="shared" si="6"/>
        <v>10</v>
      </c>
    </row>
    <row r="120">
      <c r="A120" s="34">
        <v>45962.0</v>
      </c>
      <c r="B120" s="48">
        <f t="shared" si="7"/>
        <v>45951.07</v>
      </c>
      <c r="C120" s="48">
        <f>ROUND(IF(MONTH($A120)=12,2.333,1)*VLOOKUP($A120,'Página11'!$A$1:$S$27,COLUMN(),TRUE),2)</f>
        <v>34827.47</v>
      </c>
      <c r="D120" s="48">
        <f t="shared" si="2"/>
        <v>36060.95</v>
      </c>
      <c r="E120" s="48">
        <f>ROUND(IF(MONTH($A120)=12,2.333,1)*VLOOKUP($A120,'Página11'!$A$1:$S$27,COLUMN(),TRUE),2)</f>
        <v>34827.47</v>
      </c>
      <c r="F120" s="48">
        <f>ROUND(IF(MONTH($A120)=12,2.333,1)*VLOOKUP($A120,'Página11'!$A$1:$S$27,COLUMN(),TRUE),2)</f>
        <v>33086.1</v>
      </c>
      <c r="G120" s="48">
        <f t="shared" si="8"/>
        <v>30947.21</v>
      </c>
      <c r="H120" s="48">
        <f>ROUND(IF(MONTH($A120)=12,2.333,1)*VLOOKUP($A120,'Página11'!$A$1:$S$27,COLUMN(),TRUE),2)</f>
        <v>22184.71</v>
      </c>
      <c r="I120" s="48">
        <f t="shared" si="4"/>
        <v>23776.89</v>
      </c>
      <c r="J120" s="48">
        <f>ROUND(IF(MONTH($A120)=12,2.333,1)*VLOOKUP($A120,'Página11'!$A$1:$S$27,COLUMN(),TRUE),2)</f>
        <v>22184.71</v>
      </c>
      <c r="K120" s="48">
        <f>ROUND(IF(MONTH($A120)=12,2.333,1)*VLOOKUP($A120,'Página11'!$A$1:$S$27,COLUMN(),TRUE),2)</f>
        <v>21162.08</v>
      </c>
      <c r="L120" s="48">
        <f>VLOOKUP($A120,'Página11'!$A$1:$S$27,COLUMN(),TRUE)</f>
        <v>29761.03</v>
      </c>
      <c r="M120" s="48">
        <f>VLOOKUP($A120,'Página11'!$A$1:$S$27,COLUMN(),TRUE)</f>
        <v>16605.16</v>
      </c>
      <c r="N120" s="48">
        <f>VLOOKUP($A120,'Página11'!$A$1:$S$27,COLUMN(),TRUE)</f>
        <v>29760.95</v>
      </c>
      <c r="O120" s="48">
        <f>VLOOKUP($A120,'Página11'!$A$1:$S$27,COLUMN(),TRUE)</f>
        <v>7000</v>
      </c>
      <c r="P120" s="48">
        <f>VLOOKUP($A120,'Página11'!$A$1:$S$27,COLUMN(),TRUE)</f>
        <v>19209.43475</v>
      </c>
      <c r="Q120" s="48">
        <f>VLOOKUP($A120,'Página11'!$A$1:$S$27,COLUMN(),TRUE)</f>
        <v>12038.741</v>
      </c>
      <c r="R120" s="48">
        <f>VLOOKUP($A120,'Página11'!$A$1:$S$27,COLUMN(),TRUE)</f>
        <v>19209.39125</v>
      </c>
      <c r="S120" s="48">
        <f>VLOOKUP($A120,'Página11'!$A$1:$S$27,COLUMN(),TRUE)</f>
        <v>5075</v>
      </c>
      <c r="T120" s="73">
        <f t="shared" si="5"/>
        <v>2025</v>
      </c>
      <c r="U120" s="73">
        <f t="shared" si="6"/>
        <v>11</v>
      </c>
    </row>
    <row r="121">
      <c r="A121" s="34">
        <v>45992.0</v>
      </c>
      <c r="B121" s="48">
        <f t="shared" si="7"/>
        <v>107203.85</v>
      </c>
      <c r="C121" s="48">
        <f>ROUND(IF(MONTH($A121)=12,2.333,1)*VLOOKUP($A121,'Página11'!$A$1:$S$27,COLUMN(),TRUE),2)</f>
        <v>81252.5</v>
      </c>
      <c r="D121" s="48">
        <f t="shared" si="2"/>
        <v>84130.2</v>
      </c>
      <c r="E121" s="48">
        <f>ROUND(IF(MONTH($A121)=12,2.333,1)*VLOOKUP($A121,'Página11'!$A$1:$S$27,COLUMN(),TRUE),2)</f>
        <v>81252.5</v>
      </c>
      <c r="F121" s="48">
        <f>ROUND(IF(MONTH($A121)=12,2.333,1)*VLOOKUP($A121,'Página11'!$A$1:$S$27,COLUMN(),TRUE),2)</f>
        <v>77189.87</v>
      </c>
      <c r="G121" s="48">
        <f t="shared" si="8"/>
        <v>72199.85</v>
      </c>
      <c r="H121" s="48">
        <f>ROUND(IF(MONTH($A121)=12,2.333,1)*VLOOKUP($A121,'Página11'!$A$1:$S$27,COLUMN(),TRUE),2)</f>
        <v>51756.92</v>
      </c>
      <c r="I121" s="48">
        <f t="shared" si="4"/>
        <v>55471.49</v>
      </c>
      <c r="J121" s="48">
        <f>ROUND(IF(MONTH($A121)=12,2.333,1)*VLOOKUP($A121,'Página11'!$A$1:$S$27,COLUMN(),TRUE),2)</f>
        <v>51756.92</v>
      </c>
      <c r="K121" s="48">
        <f>ROUND(IF(MONTH($A121)=12,2.333,1)*VLOOKUP($A121,'Página11'!$A$1:$S$27,COLUMN(),TRUE),2)</f>
        <v>49371.14</v>
      </c>
      <c r="L121" s="48">
        <f>VLOOKUP($A121,'Página11'!$A$1:$S$27,COLUMN(),TRUE)</f>
        <v>29761.03</v>
      </c>
      <c r="M121" s="48">
        <f>VLOOKUP($A121,'Página11'!$A$1:$S$27,COLUMN(),TRUE)</f>
        <v>16605.16</v>
      </c>
      <c r="N121" s="48">
        <f>VLOOKUP($A121,'Página11'!$A$1:$S$27,COLUMN(),TRUE)</f>
        <v>29760.95</v>
      </c>
      <c r="O121" s="48">
        <f>VLOOKUP($A121,'Página11'!$A$1:$S$27,COLUMN(),TRUE)</f>
        <v>7000</v>
      </c>
      <c r="P121" s="48">
        <f>VLOOKUP($A121,'Página11'!$A$1:$S$27,COLUMN(),TRUE)</f>
        <v>19209.43475</v>
      </c>
      <c r="Q121" s="48">
        <f>VLOOKUP($A121,'Página11'!$A$1:$S$27,COLUMN(),TRUE)</f>
        <v>12038.741</v>
      </c>
      <c r="R121" s="48">
        <f>VLOOKUP($A121,'Página11'!$A$1:$S$27,COLUMN(),TRUE)</f>
        <v>19209.39125</v>
      </c>
      <c r="S121" s="48">
        <f>VLOOKUP($A121,'Página11'!$A$1:$S$27,COLUMN(),TRUE)</f>
        <v>5075</v>
      </c>
      <c r="T121" s="73">
        <f t="shared" si="5"/>
        <v>2025</v>
      </c>
      <c r="U121" s="73">
        <f t="shared" si="6"/>
        <v>12</v>
      </c>
    </row>
    <row r="122">
      <c r="A122" s="34">
        <v>46023.0</v>
      </c>
      <c r="B122" s="48">
        <f t="shared" si="7"/>
        <v>45951.07</v>
      </c>
      <c r="C122" s="48">
        <f>ROUND(IF(MONTH($A122)=12,2.333,1)*VLOOKUP($A122,'Página11'!$A$1:$S$27,COLUMN(),TRUE),2)</f>
        <v>34827.47</v>
      </c>
      <c r="D122" s="48">
        <f t="shared" si="2"/>
        <v>36060.95</v>
      </c>
      <c r="E122" s="48">
        <f>ROUND(IF(MONTH($A122)=12,2.333,1)*VLOOKUP($A122,'Página11'!$A$1:$S$27,COLUMN(),TRUE),2)</f>
        <v>34827.47</v>
      </c>
      <c r="F122" s="48">
        <f>ROUND(IF(MONTH($A122)=12,2.333,1)*VLOOKUP($A122,'Página11'!$A$1:$S$27,COLUMN(),TRUE),2)</f>
        <v>33086.1</v>
      </c>
      <c r="G122" s="48">
        <f t="shared" si="8"/>
        <v>30947.21</v>
      </c>
      <c r="H122" s="48">
        <f>ROUND(IF(MONTH($A122)=12,2.333,1)*VLOOKUP($A122,'Página11'!$A$1:$S$27,COLUMN(),TRUE),2)</f>
        <v>22184.71</v>
      </c>
      <c r="I122" s="48">
        <f t="shared" si="4"/>
        <v>23776.89</v>
      </c>
      <c r="J122" s="48">
        <f>ROUND(IF(MONTH($A122)=12,2.333,1)*VLOOKUP($A122,'Página11'!$A$1:$S$27,COLUMN(),TRUE),2)</f>
        <v>22184.71</v>
      </c>
      <c r="K122" s="48">
        <f>ROUND(IF(MONTH($A122)=12,2.333,1)*VLOOKUP($A122,'Página11'!$A$1:$S$27,COLUMN(),TRUE),2)</f>
        <v>21162.08</v>
      </c>
      <c r="L122" s="48">
        <f>VLOOKUP($A122,'Página11'!$A$1:$S$27,COLUMN(),TRUE)</f>
        <v>29761.03</v>
      </c>
      <c r="M122" s="48">
        <f>VLOOKUP($A122,'Página11'!$A$1:$S$27,COLUMN(),TRUE)</f>
        <v>16605.16</v>
      </c>
      <c r="N122" s="48">
        <f>VLOOKUP($A122,'Página11'!$A$1:$S$27,COLUMN(),TRUE)</f>
        <v>29760.95</v>
      </c>
      <c r="O122" s="48">
        <f>VLOOKUP($A122,'Página11'!$A$1:$S$27,COLUMN(),TRUE)</f>
        <v>7000</v>
      </c>
      <c r="P122" s="48">
        <f>VLOOKUP($A122,'Página11'!$A$1:$S$27,COLUMN(),TRUE)</f>
        <v>19209.43475</v>
      </c>
      <c r="Q122" s="48">
        <f>VLOOKUP($A122,'Página11'!$A$1:$S$27,COLUMN(),TRUE)</f>
        <v>12038.741</v>
      </c>
      <c r="R122" s="48">
        <f>VLOOKUP($A122,'Página11'!$A$1:$S$27,COLUMN(),TRUE)</f>
        <v>19209.39125</v>
      </c>
      <c r="S122" s="48">
        <f>VLOOKUP($A122,'Página11'!$A$1:$S$27,COLUMN(),TRUE)</f>
        <v>5075</v>
      </c>
      <c r="T122" s="73">
        <f t="shared" si="5"/>
        <v>2026</v>
      </c>
      <c r="U122" s="73">
        <f t="shared" si="6"/>
        <v>1</v>
      </c>
    </row>
    <row r="123">
      <c r="A123" s="34">
        <v>46054.0</v>
      </c>
      <c r="B123" s="48">
        <f t="shared" si="7"/>
        <v>45951.07</v>
      </c>
      <c r="C123" s="48">
        <f>ROUND(IF(MONTH($A123)=12,2.333,1)*VLOOKUP($A123,'Página11'!$A$1:$S$27,COLUMN(),TRUE),2)</f>
        <v>34827.47</v>
      </c>
      <c r="D123" s="48">
        <f t="shared" si="2"/>
        <v>36060.95</v>
      </c>
      <c r="E123" s="48">
        <f>ROUND(IF(MONTH($A123)=12,2.333,1)*VLOOKUP($A123,'Página11'!$A$1:$S$27,COLUMN(),TRUE),2)</f>
        <v>34827.47</v>
      </c>
      <c r="F123" s="48">
        <f>ROUND(IF(MONTH($A123)=12,2.333,1)*VLOOKUP($A123,'Página11'!$A$1:$S$27,COLUMN(),TRUE),2)</f>
        <v>33086.1</v>
      </c>
      <c r="G123" s="48">
        <f t="shared" si="8"/>
        <v>30947.21</v>
      </c>
      <c r="H123" s="48">
        <f>ROUND(IF(MONTH($A123)=12,2.333,1)*VLOOKUP($A123,'Página11'!$A$1:$S$27,COLUMN(),TRUE),2)</f>
        <v>22184.71</v>
      </c>
      <c r="I123" s="48">
        <f t="shared" si="4"/>
        <v>23776.89</v>
      </c>
      <c r="J123" s="48">
        <f>ROUND(IF(MONTH($A123)=12,2.333,1)*VLOOKUP($A123,'Página11'!$A$1:$S$27,COLUMN(),TRUE),2)</f>
        <v>22184.71</v>
      </c>
      <c r="K123" s="48">
        <f>ROUND(IF(MONTH($A123)=12,2.333,1)*VLOOKUP($A123,'Página11'!$A$1:$S$27,COLUMN(),TRUE),2)</f>
        <v>21162.08</v>
      </c>
      <c r="L123" s="48">
        <f>VLOOKUP($A123,'Página11'!$A$1:$S$27,COLUMN(),TRUE)</f>
        <v>29761.03</v>
      </c>
      <c r="M123" s="48">
        <f>VLOOKUP($A123,'Página11'!$A$1:$S$27,COLUMN(),TRUE)</f>
        <v>16605.16</v>
      </c>
      <c r="N123" s="48">
        <f>VLOOKUP($A123,'Página11'!$A$1:$S$27,COLUMN(),TRUE)</f>
        <v>29760.95</v>
      </c>
      <c r="O123" s="48">
        <f>VLOOKUP($A123,'Página11'!$A$1:$S$27,COLUMN(),TRUE)</f>
        <v>7000</v>
      </c>
      <c r="P123" s="48">
        <f>VLOOKUP($A123,'Página11'!$A$1:$S$27,COLUMN(),TRUE)</f>
        <v>19209.43475</v>
      </c>
      <c r="Q123" s="48">
        <f>VLOOKUP($A123,'Página11'!$A$1:$S$27,COLUMN(),TRUE)</f>
        <v>12038.741</v>
      </c>
      <c r="R123" s="48">
        <f>VLOOKUP($A123,'Página11'!$A$1:$S$27,COLUMN(),TRUE)</f>
        <v>19209.39125</v>
      </c>
      <c r="S123" s="48">
        <f>VLOOKUP($A123,'Página11'!$A$1:$S$27,COLUMN(),TRUE)</f>
        <v>5075</v>
      </c>
      <c r="T123" s="73">
        <f t="shared" si="5"/>
        <v>2026</v>
      </c>
      <c r="U123" s="73">
        <f t="shared" si="6"/>
        <v>2</v>
      </c>
    </row>
    <row r="124">
      <c r="A124" s="34">
        <v>46082.0</v>
      </c>
      <c r="B124" s="48">
        <f t="shared" si="7"/>
        <v>45951.07</v>
      </c>
      <c r="C124" s="48">
        <f>ROUND(IF(MONTH($A124)=12,2.333,1)*VLOOKUP($A124,'Página11'!$A$1:$S$27,COLUMN(),TRUE),2)</f>
        <v>34827.47</v>
      </c>
      <c r="D124" s="48">
        <f t="shared" si="2"/>
        <v>36060.95</v>
      </c>
      <c r="E124" s="48">
        <f>ROUND(IF(MONTH($A124)=12,2.333,1)*VLOOKUP($A124,'Página11'!$A$1:$S$27,COLUMN(),TRUE),2)</f>
        <v>34827.47</v>
      </c>
      <c r="F124" s="48">
        <f>ROUND(IF(MONTH($A124)=12,2.333,1)*VLOOKUP($A124,'Página11'!$A$1:$S$27,COLUMN(),TRUE),2)</f>
        <v>33086.1</v>
      </c>
      <c r="G124" s="48">
        <f t="shared" si="8"/>
        <v>30947.21</v>
      </c>
      <c r="H124" s="48">
        <f>ROUND(IF(MONTH($A124)=12,2.333,1)*VLOOKUP($A124,'Página11'!$A$1:$S$27,COLUMN(),TRUE),2)</f>
        <v>22184.71</v>
      </c>
      <c r="I124" s="48">
        <f t="shared" si="4"/>
        <v>23776.89</v>
      </c>
      <c r="J124" s="48">
        <f>ROUND(IF(MONTH($A124)=12,2.333,1)*VLOOKUP($A124,'Página11'!$A$1:$S$27,COLUMN(),TRUE),2)</f>
        <v>22184.71</v>
      </c>
      <c r="K124" s="48">
        <f>ROUND(IF(MONTH($A124)=12,2.333,1)*VLOOKUP($A124,'Página11'!$A$1:$S$27,COLUMN(),TRUE),2)</f>
        <v>21162.08</v>
      </c>
      <c r="L124" s="48">
        <f>VLOOKUP($A124,'Página11'!$A$1:$S$27,COLUMN(),TRUE)</f>
        <v>29761.03</v>
      </c>
      <c r="M124" s="48">
        <f>VLOOKUP($A124,'Página11'!$A$1:$S$27,COLUMN(),TRUE)</f>
        <v>16605.16</v>
      </c>
      <c r="N124" s="48">
        <f>VLOOKUP($A124,'Página11'!$A$1:$S$27,COLUMN(),TRUE)</f>
        <v>29760.95</v>
      </c>
      <c r="O124" s="48">
        <f>VLOOKUP($A124,'Página11'!$A$1:$S$27,COLUMN(),TRUE)</f>
        <v>7000</v>
      </c>
      <c r="P124" s="48">
        <f>VLOOKUP($A124,'Página11'!$A$1:$S$27,COLUMN(),TRUE)</f>
        <v>19209.43475</v>
      </c>
      <c r="Q124" s="48">
        <f>VLOOKUP($A124,'Página11'!$A$1:$S$27,COLUMN(),TRUE)</f>
        <v>12038.741</v>
      </c>
      <c r="R124" s="48">
        <f>VLOOKUP($A124,'Página11'!$A$1:$S$27,COLUMN(),TRUE)</f>
        <v>19209.39125</v>
      </c>
      <c r="S124" s="48">
        <f>VLOOKUP($A124,'Página11'!$A$1:$S$27,COLUMN(),TRUE)</f>
        <v>5075</v>
      </c>
      <c r="T124" s="73">
        <f t="shared" si="5"/>
        <v>2026</v>
      </c>
      <c r="U124" s="73">
        <f t="shared" si="6"/>
        <v>3</v>
      </c>
    </row>
    <row r="125">
      <c r="A125" s="34">
        <v>46113.0</v>
      </c>
      <c r="B125" s="48">
        <f t="shared" si="7"/>
        <v>45951.07</v>
      </c>
      <c r="C125" s="48">
        <f>ROUND(IF(MONTH($A125)=12,2.333,1)*VLOOKUP($A125,'Página11'!$A$1:$S$27,COLUMN(),TRUE),2)</f>
        <v>38625.26</v>
      </c>
      <c r="D125" s="48">
        <f t="shared" si="2"/>
        <v>40110.95</v>
      </c>
      <c r="E125" s="48">
        <f>ROUND(IF(MONTH($A125)=12,2.333,1)*VLOOKUP($A125,'Página11'!$A$1:$S$27,COLUMN(),TRUE),2)</f>
        <v>38625.26</v>
      </c>
      <c r="F125" s="48">
        <f>ROUND(IF(MONTH($A125)=12,2.333,1)*VLOOKUP($A125,'Página11'!$A$1:$S$27,COLUMN(),TRUE),2)</f>
        <v>36694</v>
      </c>
      <c r="G125" s="48">
        <f t="shared" si="8"/>
        <v>30947.21</v>
      </c>
      <c r="H125" s="48">
        <f>ROUND(IF(MONTH($A125)=12,2.333,1)*VLOOKUP($A125,'Página11'!$A$1:$S$27,COLUMN(),TRUE),2)</f>
        <v>24414.96</v>
      </c>
      <c r="I125" s="48">
        <f t="shared" si="4"/>
        <v>26713.14</v>
      </c>
      <c r="J125" s="48">
        <f>ROUND(IF(MONTH($A125)=12,2.333,1)*VLOOKUP($A125,'Página11'!$A$1:$S$27,COLUMN(),TRUE),2)</f>
        <v>24414.96</v>
      </c>
      <c r="K125" s="48">
        <f>ROUND(IF(MONTH($A125)=12,2.333,1)*VLOOKUP($A125,'Página11'!$A$1:$S$27,COLUMN(),TRUE),2)</f>
        <v>23280.82</v>
      </c>
      <c r="L125" s="48">
        <f>VLOOKUP($A125,'Página11'!$A$1:$S$27,COLUMN(),TRUE)</f>
        <v>29761.03</v>
      </c>
      <c r="M125" s="48">
        <f>VLOOKUP($A125,'Página11'!$A$1:$S$27,COLUMN(),TRUE)</f>
        <v>16605.16</v>
      </c>
      <c r="N125" s="48">
        <f>VLOOKUP($A125,'Página11'!$A$1:$S$27,COLUMN(),TRUE)</f>
        <v>29760.95</v>
      </c>
      <c r="O125" s="48">
        <f>VLOOKUP($A125,'Página11'!$A$1:$S$27,COLUMN(),TRUE)</f>
        <v>11500</v>
      </c>
      <c r="P125" s="48">
        <f>VLOOKUP($A125,'Página11'!$A$1:$S$27,COLUMN(),TRUE)</f>
        <v>19209.43475</v>
      </c>
      <c r="Q125" s="48">
        <f>VLOOKUP($A125,'Página11'!$A$1:$S$27,COLUMN(),TRUE)</f>
        <v>12038.741</v>
      </c>
      <c r="R125" s="48">
        <f>VLOOKUP($A125,'Página11'!$A$1:$S$27,COLUMN(),TRUE)</f>
        <v>19209.39125</v>
      </c>
      <c r="S125" s="48">
        <f>VLOOKUP($A125,'Página11'!$A$1:$S$27,COLUMN(),TRUE)</f>
        <v>8337.5</v>
      </c>
      <c r="T125" s="73">
        <f t="shared" si="5"/>
        <v>2026</v>
      </c>
      <c r="U125" s="73">
        <f t="shared" si="6"/>
        <v>4</v>
      </c>
    </row>
    <row r="126">
      <c r="A126" s="34">
        <v>46143.0</v>
      </c>
      <c r="B126" s="48">
        <f t="shared" si="7"/>
        <v>45951.07</v>
      </c>
      <c r="C126" s="48">
        <f>ROUND(IF(MONTH($A126)=12,2.333,1)*VLOOKUP($A126,'Página11'!$A$1:$S$27,COLUMN(),TRUE),2)</f>
        <v>38625.26</v>
      </c>
      <c r="D126" s="48">
        <f t="shared" si="2"/>
        <v>40110.95</v>
      </c>
      <c r="E126" s="48">
        <f>ROUND(IF(MONTH($A126)=12,2.333,1)*VLOOKUP($A126,'Página11'!$A$1:$S$27,COLUMN(),TRUE),2)</f>
        <v>38625.26</v>
      </c>
      <c r="F126" s="48">
        <f>ROUND(IF(MONTH($A126)=12,2.333,1)*VLOOKUP($A126,'Página11'!$A$1:$S$27,COLUMN(),TRUE),2)</f>
        <v>36694</v>
      </c>
      <c r="G126" s="48">
        <f t="shared" si="8"/>
        <v>30947.21</v>
      </c>
      <c r="H126" s="48">
        <f>ROUND(IF(MONTH($A126)=12,2.333,1)*VLOOKUP($A126,'Página11'!$A$1:$S$27,COLUMN(),TRUE),2)</f>
        <v>24414.96</v>
      </c>
      <c r="I126" s="48">
        <f t="shared" si="4"/>
        <v>26713.14</v>
      </c>
      <c r="J126" s="48">
        <f>ROUND(IF(MONTH($A126)=12,2.333,1)*VLOOKUP($A126,'Página11'!$A$1:$S$27,COLUMN(),TRUE),2)</f>
        <v>24414.96</v>
      </c>
      <c r="K126" s="48">
        <f>ROUND(IF(MONTH($A126)=12,2.333,1)*VLOOKUP($A126,'Página11'!$A$1:$S$27,COLUMN(),TRUE),2)</f>
        <v>23280.82</v>
      </c>
      <c r="L126" s="48">
        <f>VLOOKUP($A126,'Página11'!$A$1:$S$27,COLUMN(),TRUE)</f>
        <v>29761.03</v>
      </c>
      <c r="M126" s="48">
        <f>VLOOKUP($A126,'Página11'!$A$1:$S$27,COLUMN(),TRUE)</f>
        <v>16605.16</v>
      </c>
      <c r="N126" s="48">
        <f>VLOOKUP($A126,'Página11'!$A$1:$S$27,COLUMN(),TRUE)</f>
        <v>29760.95</v>
      </c>
      <c r="O126" s="48">
        <f>VLOOKUP($A126,'Página11'!$A$1:$S$27,COLUMN(),TRUE)</f>
        <v>11500</v>
      </c>
      <c r="P126" s="48">
        <f>VLOOKUP($A126,'Página11'!$A$1:$S$27,COLUMN(),TRUE)</f>
        <v>19209.43475</v>
      </c>
      <c r="Q126" s="48">
        <f>VLOOKUP($A126,'Página11'!$A$1:$S$27,COLUMN(),TRUE)</f>
        <v>12038.741</v>
      </c>
      <c r="R126" s="48">
        <f>VLOOKUP($A126,'Página11'!$A$1:$S$27,COLUMN(),TRUE)</f>
        <v>19209.39125</v>
      </c>
      <c r="S126" s="48">
        <f>VLOOKUP($A126,'Página11'!$A$1:$S$27,COLUMN(),TRUE)</f>
        <v>8337.5</v>
      </c>
      <c r="T126" s="73">
        <f t="shared" si="5"/>
        <v>2026</v>
      </c>
      <c r="U126" s="73">
        <f t="shared" si="6"/>
        <v>5</v>
      </c>
    </row>
    <row r="127">
      <c r="A127" s="34">
        <v>46174.0</v>
      </c>
      <c r="B127" s="48">
        <f t="shared" si="7"/>
        <v>45951.07</v>
      </c>
      <c r="C127" s="48">
        <f>ROUND(IF(MONTH($A127)=12,2.333,1)*VLOOKUP($A127,'Página11'!$A$1:$S$27,COLUMN(),TRUE),2)</f>
        <v>38625.26</v>
      </c>
      <c r="D127" s="48">
        <f t="shared" si="2"/>
        <v>40110.95</v>
      </c>
      <c r="E127" s="48">
        <f>ROUND(IF(MONTH($A127)=12,2.333,1)*VLOOKUP($A127,'Página11'!$A$1:$S$27,COLUMN(),TRUE),2)</f>
        <v>38625.26</v>
      </c>
      <c r="F127" s="48">
        <f>ROUND(IF(MONTH($A127)=12,2.333,1)*VLOOKUP($A127,'Página11'!$A$1:$S$27,COLUMN(),TRUE),2)</f>
        <v>36694</v>
      </c>
      <c r="G127" s="48">
        <f t="shared" si="8"/>
        <v>30947.21</v>
      </c>
      <c r="H127" s="48">
        <f>ROUND(IF(MONTH($A127)=12,2.333,1)*VLOOKUP($A127,'Página11'!$A$1:$S$27,COLUMN(),TRUE),2)</f>
        <v>24414.96</v>
      </c>
      <c r="I127" s="48">
        <f t="shared" si="4"/>
        <v>26713.14</v>
      </c>
      <c r="J127" s="48">
        <f>ROUND(IF(MONTH($A127)=12,2.333,1)*VLOOKUP($A127,'Página11'!$A$1:$S$27,COLUMN(),TRUE),2)</f>
        <v>24414.96</v>
      </c>
      <c r="K127" s="48">
        <f>ROUND(IF(MONTH($A127)=12,2.333,1)*VLOOKUP($A127,'Página11'!$A$1:$S$27,COLUMN(),TRUE),2)</f>
        <v>23280.82</v>
      </c>
      <c r="L127" s="48">
        <f>VLOOKUP($A127,'Página11'!$A$1:$S$27,COLUMN(),TRUE)</f>
        <v>29761.03</v>
      </c>
      <c r="M127" s="48">
        <f>VLOOKUP($A127,'Página11'!$A$1:$S$27,COLUMN(),TRUE)</f>
        <v>16605.16</v>
      </c>
      <c r="N127" s="48">
        <f>VLOOKUP($A127,'Página11'!$A$1:$S$27,COLUMN(),TRUE)</f>
        <v>29760.95</v>
      </c>
      <c r="O127" s="48">
        <f>VLOOKUP($A127,'Página11'!$A$1:$S$27,COLUMN(),TRUE)</f>
        <v>11500</v>
      </c>
      <c r="P127" s="48">
        <f>VLOOKUP($A127,'Página11'!$A$1:$S$27,COLUMN(),TRUE)</f>
        <v>19209.43475</v>
      </c>
      <c r="Q127" s="48">
        <f>VLOOKUP($A127,'Página11'!$A$1:$S$27,COLUMN(),TRUE)</f>
        <v>12038.741</v>
      </c>
      <c r="R127" s="48">
        <f>VLOOKUP($A127,'Página11'!$A$1:$S$27,COLUMN(),TRUE)</f>
        <v>19209.39125</v>
      </c>
      <c r="S127" s="48">
        <f>VLOOKUP($A127,'Página11'!$A$1:$S$27,COLUMN(),TRUE)</f>
        <v>8337.5</v>
      </c>
      <c r="T127" s="73">
        <f t="shared" si="5"/>
        <v>2026</v>
      </c>
      <c r="U127" s="73">
        <f t="shared" si="6"/>
        <v>6</v>
      </c>
    </row>
    <row r="128">
      <c r="A128" s="34">
        <v>46204.0</v>
      </c>
      <c r="B128" s="48">
        <f t="shared" si="7"/>
        <v>45951.07</v>
      </c>
      <c r="C128" s="48">
        <f>ROUND(IF(MONTH($A128)=12,2.333,1)*VLOOKUP($A128,'Página11'!$A$1:$S$27,COLUMN(),TRUE),2)</f>
        <v>38625.26</v>
      </c>
      <c r="D128" s="48">
        <f t="shared" si="2"/>
        <v>40110.95</v>
      </c>
      <c r="E128" s="48">
        <f>ROUND(IF(MONTH($A128)=12,2.333,1)*VLOOKUP($A128,'Página11'!$A$1:$S$27,COLUMN(),TRUE),2)</f>
        <v>38625.26</v>
      </c>
      <c r="F128" s="48">
        <f>ROUND(IF(MONTH($A128)=12,2.333,1)*VLOOKUP($A128,'Página11'!$A$1:$S$27,COLUMN(),TRUE),2)</f>
        <v>36694</v>
      </c>
      <c r="G128" s="48">
        <f t="shared" si="8"/>
        <v>30947.21</v>
      </c>
      <c r="H128" s="48">
        <f>ROUND(IF(MONTH($A128)=12,2.333,1)*VLOOKUP($A128,'Página11'!$A$1:$S$27,COLUMN(),TRUE),2)</f>
        <v>24414.96</v>
      </c>
      <c r="I128" s="48">
        <f t="shared" si="4"/>
        <v>26713.14</v>
      </c>
      <c r="J128" s="48">
        <f>ROUND(IF(MONTH($A128)=12,2.333,1)*VLOOKUP($A128,'Página11'!$A$1:$S$27,COLUMN(),TRUE),2)</f>
        <v>24414.96</v>
      </c>
      <c r="K128" s="48">
        <f>ROUND(IF(MONTH($A128)=12,2.333,1)*VLOOKUP($A128,'Página11'!$A$1:$S$27,COLUMN(),TRUE),2)</f>
        <v>23280.82</v>
      </c>
      <c r="L128" s="48">
        <f>VLOOKUP($A128,'Página11'!$A$1:$S$27,COLUMN(),TRUE)</f>
        <v>29761.03</v>
      </c>
      <c r="M128" s="48">
        <f>VLOOKUP($A128,'Página11'!$A$1:$S$27,COLUMN(),TRUE)</f>
        <v>16605.16</v>
      </c>
      <c r="N128" s="48">
        <f>VLOOKUP($A128,'Página11'!$A$1:$S$27,COLUMN(),TRUE)</f>
        <v>29760.95</v>
      </c>
      <c r="O128" s="48">
        <f>VLOOKUP($A128,'Página11'!$A$1:$S$27,COLUMN(),TRUE)</f>
        <v>11500</v>
      </c>
      <c r="P128" s="48">
        <f>VLOOKUP($A128,'Página11'!$A$1:$S$27,COLUMN(),TRUE)</f>
        <v>19209.43475</v>
      </c>
      <c r="Q128" s="48">
        <f>VLOOKUP($A128,'Página11'!$A$1:$S$27,COLUMN(),TRUE)</f>
        <v>12038.741</v>
      </c>
      <c r="R128" s="48">
        <f>VLOOKUP($A128,'Página11'!$A$1:$S$27,COLUMN(),TRUE)</f>
        <v>19209.39125</v>
      </c>
      <c r="S128" s="48">
        <f>VLOOKUP($A128,'Página11'!$A$1:$S$27,COLUMN(),TRUE)</f>
        <v>8337.5</v>
      </c>
      <c r="T128" s="73">
        <f t="shared" si="5"/>
        <v>2026</v>
      </c>
      <c r="U128" s="73">
        <f t="shared" si="6"/>
        <v>7</v>
      </c>
    </row>
    <row r="129">
      <c r="A129" s="34">
        <v>46235.0</v>
      </c>
      <c r="B129" s="48">
        <f t="shared" si="7"/>
        <v>45951.07</v>
      </c>
      <c r="C129" s="48">
        <f>ROUND(IF(MONTH($A129)=12,2.333,1)*VLOOKUP($A129,'Página11'!$A$1:$S$27,COLUMN(),TRUE),2)</f>
        <v>38625.26</v>
      </c>
      <c r="D129" s="48">
        <f t="shared" si="2"/>
        <v>40110.95</v>
      </c>
      <c r="E129" s="48">
        <f>ROUND(IF(MONTH($A129)=12,2.333,1)*VLOOKUP($A129,'Página11'!$A$1:$S$27,COLUMN(),TRUE),2)</f>
        <v>38625.26</v>
      </c>
      <c r="F129" s="48">
        <f>ROUND(IF(MONTH($A129)=12,2.333,1)*VLOOKUP($A129,'Página11'!$A$1:$S$27,COLUMN(),TRUE),2)</f>
        <v>36694</v>
      </c>
      <c r="G129" s="48">
        <f t="shared" si="8"/>
        <v>30947.21</v>
      </c>
      <c r="H129" s="48">
        <f>ROUND(IF(MONTH($A129)=12,2.333,1)*VLOOKUP($A129,'Página11'!$A$1:$S$27,COLUMN(),TRUE),2)</f>
        <v>24414.96</v>
      </c>
      <c r="I129" s="48">
        <f t="shared" si="4"/>
        <v>26713.14</v>
      </c>
      <c r="J129" s="48">
        <f>ROUND(IF(MONTH($A129)=12,2.333,1)*VLOOKUP($A129,'Página11'!$A$1:$S$27,COLUMN(),TRUE),2)</f>
        <v>24414.96</v>
      </c>
      <c r="K129" s="48">
        <f>ROUND(IF(MONTH($A129)=12,2.333,1)*VLOOKUP($A129,'Página11'!$A$1:$S$27,COLUMN(),TRUE),2)</f>
        <v>23280.82</v>
      </c>
      <c r="L129" s="48">
        <f>VLOOKUP($A129,'Página11'!$A$1:$S$27,COLUMN(),TRUE)</f>
        <v>29761.03</v>
      </c>
      <c r="M129" s="48">
        <f>VLOOKUP($A129,'Página11'!$A$1:$S$27,COLUMN(),TRUE)</f>
        <v>16605.16</v>
      </c>
      <c r="N129" s="48">
        <f>VLOOKUP($A129,'Página11'!$A$1:$S$27,COLUMN(),TRUE)</f>
        <v>29760.95</v>
      </c>
      <c r="O129" s="48">
        <f>VLOOKUP($A129,'Página11'!$A$1:$S$27,COLUMN(),TRUE)</f>
        <v>11500</v>
      </c>
      <c r="P129" s="48">
        <f>VLOOKUP($A129,'Página11'!$A$1:$S$27,COLUMN(),TRUE)</f>
        <v>19209.43475</v>
      </c>
      <c r="Q129" s="48">
        <f>VLOOKUP($A129,'Página11'!$A$1:$S$27,COLUMN(),TRUE)</f>
        <v>12038.741</v>
      </c>
      <c r="R129" s="48">
        <f>VLOOKUP($A129,'Página11'!$A$1:$S$27,COLUMN(),TRUE)</f>
        <v>19209.39125</v>
      </c>
      <c r="S129" s="48">
        <f>VLOOKUP($A129,'Página11'!$A$1:$S$27,COLUMN(),TRUE)</f>
        <v>8337.5</v>
      </c>
      <c r="T129" s="73">
        <f t="shared" si="5"/>
        <v>2026</v>
      </c>
      <c r="U129" s="73">
        <f t="shared" si="6"/>
        <v>8</v>
      </c>
    </row>
    <row r="130">
      <c r="A130" s="34">
        <v>46266.0</v>
      </c>
      <c r="B130" s="48">
        <f t="shared" si="7"/>
        <v>45951.07</v>
      </c>
      <c r="C130" s="48">
        <f>ROUND(IF(MONTH($A130)=12,2.333,1)*VLOOKUP($A130,'Página11'!$A$1:$S$27,COLUMN(),TRUE),2)</f>
        <v>38625.26</v>
      </c>
      <c r="D130" s="48">
        <f t="shared" si="2"/>
        <v>40110.95</v>
      </c>
      <c r="E130" s="48">
        <f>ROUND(IF(MONTH($A130)=12,2.333,1)*VLOOKUP($A130,'Página11'!$A$1:$S$27,COLUMN(),TRUE),2)</f>
        <v>38625.26</v>
      </c>
      <c r="F130" s="48">
        <f>ROUND(IF(MONTH($A130)=12,2.333,1)*VLOOKUP($A130,'Página11'!$A$1:$S$27,COLUMN(),TRUE),2)</f>
        <v>36694</v>
      </c>
      <c r="G130" s="48">
        <f t="shared" si="8"/>
        <v>30947.21</v>
      </c>
      <c r="H130" s="48">
        <f>ROUND(IF(MONTH($A130)=12,2.333,1)*VLOOKUP($A130,'Página11'!$A$1:$S$27,COLUMN(),TRUE),2)</f>
        <v>24414.96</v>
      </c>
      <c r="I130" s="48">
        <f t="shared" si="4"/>
        <v>26713.14</v>
      </c>
      <c r="J130" s="48">
        <f>ROUND(IF(MONTH($A130)=12,2.333,1)*VLOOKUP($A130,'Página11'!$A$1:$S$27,COLUMN(),TRUE),2)</f>
        <v>24414.96</v>
      </c>
      <c r="K130" s="48">
        <f>ROUND(IF(MONTH($A130)=12,2.333,1)*VLOOKUP($A130,'Página11'!$A$1:$S$27,COLUMN(),TRUE),2)</f>
        <v>23280.82</v>
      </c>
      <c r="L130" s="48">
        <f>VLOOKUP($A130,'Página11'!$A$1:$S$27,COLUMN(),TRUE)</f>
        <v>29761.03</v>
      </c>
      <c r="M130" s="48">
        <f>VLOOKUP($A130,'Página11'!$A$1:$S$27,COLUMN(),TRUE)</f>
        <v>16605.16</v>
      </c>
      <c r="N130" s="48">
        <f>VLOOKUP($A130,'Página11'!$A$1:$S$27,COLUMN(),TRUE)</f>
        <v>29760.95</v>
      </c>
      <c r="O130" s="48">
        <f>VLOOKUP($A130,'Página11'!$A$1:$S$27,COLUMN(),TRUE)</f>
        <v>11500</v>
      </c>
      <c r="P130" s="48">
        <f>VLOOKUP($A130,'Página11'!$A$1:$S$27,COLUMN(),TRUE)</f>
        <v>19209.43475</v>
      </c>
      <c r="Q130" s="48">
        <f>VLOOKUP($A130,'Página11'!$A$1:$S$27,COLUMN(),TRUE)</f>
        <v>12038.741</v>
      </c>
      <c r="R130" s="48">
        <f>VLOOKUP($A130,'Página11'!$A$1:$S$27,COLUMN(),TRUE)</f>
        <v>19209.39125</v>
      </c>
      <c r="S130" s="48">
        <f>VLOOKUP($A130,'Página11'!$A$1:$S$27,COLUMN(),TRUE)</f>
        <v>8337.5</v>
      </c>
      <c r="T130" s="73">
        <f t="shared" si="5"/>
        <v>2026</v>
      </c>
      <c r="U130" s="73">
        <f t="shared" si="6"/>
        <v>9</v>
      </c>
    </row>
    <row r="131">
      <c r="A131" s="34">
        <v>46296.0</v>
      </c>
      <c r="B131" s="48">
        <f t="shared" si="7"/>
        <v>45951.07</v>
      </c>
      <c r="C131" s="48">
        <f>ROUND(IF(MONTH($A131)=12,2.333,1)*VLOOKUP($A131,'Página11'!$A$1:$S$27,COLUMN(),TRUE),2)</f>
        <v>38625.26</v>
      </c>
      <c r="D131" s="48">
        <f t="shared" si="2"/>
        <v>40110.95</v>
      </c>
      <c r="E131" s="48">
        <f>ROUND(IF(MONTH($A131)=12,2.333,1)*VLOOKUP($A131,'Página11'!$A$1:$S$27,COLUMN(),TRUE),2)</f>
        <v>38625.26</v>
      </c>
      <c r="F131" s="48">
        <f>ROUND(IF(MONTH($A131)=12,2.333,1)*VLOOKUP($A131,'Página11'!$A$1:$S$27,COLUMN(),TRUE),2)</f>
        <v>36694</v>
      </c>
      <c r="G131" s="48">
        <f t="shared" si="8"/>
        <v>30947.21</v>
      </c>
      <c r="H131" s="48">
        <f>ROUND(IF(MONTH($A131)=12,2.333,1)*VLOOKUP($A131,'Página11'!$A$1:$S$27,COLUMN(),TRUE),2)</f>
        <v>24414.96</v>
      </c>
      <c r="I131" s="48">
        <f t="shared" si="4"/>
        <v>26713.14</v>
      </c>
      <c r="J131" s="48">
        <f>ROUND(IF(MONTH($A131)=12,2.333,1)*VLOOKUP($A131,'Página11'!$A$1:$S$27,COLUMN(),TRUE),2)</f>
        <v>24414.96</v>
      </c>
      <c r="K131" s="48">
        <f>ROUND(IF(MONTH($A131)=12,2.333,1)*VLOOKUP($A131,'Página11'!$A$1:$S$27,COLUMN(),TRUE),2)</f>
        <v>23280.82</v>
      </c>
      <c r="L131" s="48">
        <f>VLOOKUP($A131,'Página11'!$A$1:$S$27,COLUMN(),TRUE)</f>
        <v>29761.03</v>
      </c>
      <c r="M131" s="48">
        <f>VLOOKUP($A131,'Página11'!$A$1:$S$27,COLUMN(),TRUE)</f>
        <v>16605.16</v>
      </c>
      <c r="N131" s="48">
        <f>VLOOKUP($A131,'Página11'!$A$1:$S$27,COLUMN(),TRUE)</f>
        <v>29760.95</v>
      </c>
      <c r="O131" s="48">
        <f>VLOOKUP($A131,'Página11'!$A$1:$S$27,COLUMN(),TRUE)</f>
        <v>11500</v>
      </c>
      <c r="P131" s="48">
        <f>VLOOKUP($A131,'Página11'!$A$1:$S$27,COLUMN(),TRUE)</f>
        <v>19209.43475</v>
      </c>
      <c r="Q131" s="48">
        <f>VLOOKUP($A131,'Página11'!$A$1:$S$27,COLUMN(),TRUE)</f>
        <v>12038.741</v>
      </c>
      <c r="R131" s="48">
        <f>VLOOKUP($A131,'Página11'!$A$1:$S$27,COLUMN(),TRUE)</f>
        <v>19209.39125</v>
      </c>
      <c r="S131" s="48">
        <f>VLOOKUP($A131,'Página11'!$A$1:$S$27,COLUMN(),TRUE)</f>
        <v>8337.5</v>
      </c>
      <c r="T131" s="73">
        <f t="shared" si="5"/>
        <v>2026</v>
      </c>
      <c r="U131" s="73">
        <f t="shared" si="6"/>
        <v>10</v>
      </c>
    </row>
    <row r="132">
      <c r="A132" s="34">
        <v>46327.0</v>
      </c>
      <c r="B132" s="48">
        <f t="shared" si="7"/>
        <v>45951.07</v>
      </c>
      <c r="C132" s="48">
        <f>ROUND(IF(MONTH($A132)=12,2.333,1)*VLOOKUP($A132,'Página11'!$A$1:$S$27,COLUMN(),TRUE),2)</f>
        <v>38625.26</v>
      </c>
      <c r="D132" s="48">
        <f t="shared" si="2"/>
        <v>40110.95</v>
      </c>
      <c r="E132" s="48">
        <f>ROUND(IF(MONTH($A132)=12,2.333,1)*VLOOKUP($A132,'Página11'!$A$1:$S$27,COLUMN(),TRUE),2)</f>
        <v>38625.26</v>
      </c>
      <c r="F132" s="48">
        <f>ROUND(IF(MONTH($A132)=12,2.333,1)*VLOOKUP($A132,'Página11'!$A$1:$S$27,COLUMN(),TRUE),2)</f>
        <v>36694</v>
      </c>
      <c r="G132" s="48">
        <f t="shared" si="8"/>
        <v>30947.21</v>
      </c>
      <c r="H132" s="48">
        <f>ROUND(IF(MONTH($A132)=12,2.333,1)*VLOOKUP($A132,'Página11'!$A$1:$S$27,COLUMN(),TRUE),2)</f>
        <v>24414.96</v>
      </c>
      <c r="I132" s="48">
        <f t="shared" si="4"/>
        <v>26713.14</v>
      </c>
      <c r="J132" s="48">
        <f>ROUND(IF(MONTH($A132)=12,2.333,1)*VLOOKUP($A132,'Página11'!$A$1:$S$27,COLUMN(),TRUE),2)</f>
        <v>24414.96</v>
      </c>
      <c r="K132" s="48">
        <f>ROUND(IF(MONTH($A132)=12,2.333,1)*VLOOKUP($A132,'Página11'!$A$1:$S$27,COLUMN(),TRUE),2)</f>
        <v>23280.82</v>
      </c>
      <c r="L132" s="48">
        <f>VLOOKUP($A132,'Página11'!$A$1:$S$27,COLUMN(),TRUE)</f>
        <v>29761.03</v>
      </c>
      <c r="M132" s="48">
        <f>VLOOKUP($A132,'Página11'!$A$1:$S$27,COLUMN(),TRUE)</f>
        <v>16605.16</v>
      </c>
      <c r="N132" s="48">
        <f>VLOOKUP($A132,'Página11'!$A$1:$S$27,COLUMN(),TRUE)</f>
        <v>29760.95</v>
      </c>
      <c r="O132" s="48">
        <f>VLOOKUP($A132,'Página11'!$A$1:$S$27,COLUMN(),TRUE)</f>
        <v>11500</v>
      </c>
      <c r="P132" s="48">
        <f>VLOOKUP($A132,'Página11'!$A$1:$S$27,COLUMN(),TRUE)</f>
        <v>19209.43475</v>
      </c>
      <c r="Q132" s="48">
        <f>VLOOKUP($A132,'Página11'!$A$1:$S$27,COLUMN(),TRUE)</f>
        <v>12038.741</v>
      </c>
      <c r="R132" s="48">
        <f>VLOOKUP($A132,'Página11'!$A$1:$S$27,COLUMN(),TRUE)</f>
        <v>19209.39125</v>
      </c>
      <c r="S132" s="48">
        <f>VLOOKUP($A132,'Página11'!$A$1:$S$27,COLUMN(),TRUE)</f>
        <v>8337.5</v>
      </c>
      <c r="T132" s="73">
        <f t="shared" si="5"/>
        <v>2026</v>
      </c>
      <c r="U132" s="73">
        <f t="shared" si="6"/>
        <v>11</v>
      </c>
    </row>
    <row r="133">
      <c r="A133" s="34">
        <v>46357.0</v>
      </c>
      <c r="B133" s="48">
        <f t="shared" si="7"/>
        <v>107203.85</v>
      </c>
      <c r="C133" s="48">
        <f>ROUND(IF(MONTH($A133)=12,2.333,1)*VLOOKUP($A133,'Página11'!$A$1:$S$27,COLUMN(),TRUE),2)</f>
        <v>90112.74</v>
      </c>
      <c r="D133" s="48">
        <f t="shared" si="2"/>
        <v>93578.85</v>
      </c>
      <c r="E133" s="48">
        <f>ROUND(IF(MONTH($A133)=12,2.333,1)*VLOOKUP($A133,'Página11'!$A$1:$S$27,COLUMN(),TRUE),2)</f>
        <v>90112.74</v>
      </c>
      <c r="F133" s="48">
        <f>ROUND(IF(MONTH($A133)=12,2.333,1)*VLOOKUP($A133,'Página11'!$A$1:$S$27,COLUMN(),TRUE),2)</f>
        <v>85607.1</v>
      </c>
      <c r="G133" s="48">
        <f t="shared" si="8"/>
        <v>72199.85</v>
      </c>
      <c r="H133" s="48">
        <f>ROUND(IF(MONTH($A133)=12,2.333,1)*VLOOKUP($A133,'Página11'!$A$1:$S$27,COLUMN(),TRUE),2)</f>
        <v>56960.1</v>
      </c>
      <c r="I133" s="48">
        <f t="shared" si="4"/>
        <v>62321.76</v>
      </c>
      <c r="J133" s="48">
        <f>ROUND(IF(MONTH($A133)=12,2.333,1)*VLOOKUP($A133,'Página11'!$A$1:$S$27,COLUMN(),TRUE),2)</f>
        <v>56960.1</v>
      </c>
      <c r="K133" s="48">
        <f>ROUND(IF(MONTH($A133)=12,2.333,1)*VLOOKUP($A133,'Página11'!$A$1:$S$27,COLUMN(),TRUE),2)</f>
        <v>54314.16</v>
      </c>
      <c r="L133" s="48">
        <f>VLOOKUP($A133,'Página11'!$A$1:$S$27,COLUMN(),TRUE)</f>
        <v>29761.03</v>
      </c>
      <c r="M133" s="48">
        <f>VLOOKUP($A133,'Página11'!$A$1:$S$27,COLUMN(),TRUE)</f>
        <v>16605.16</v>
      </c>
      <c r="N133" s="48">
        <f>VLOOKUP($A133,'Página11'!$A$1:$S$27,COLUMN(),TRUE)</f>
        <v>29760.95</v>
      </c>
      <c r="O133" s="48">
        <f>VLOOKUP($A133,'Página11'!$A$1:$S$27,COLUMN(),TRUE)</f>
        <v>11500</v>
      </c>
      <c r="P133" s="48">
        <f>VLOOKUP($A133,'Página11'!$A$1:$S$27,COLUMN(),TRUE)</f>
        <v>19209.43475</v>
      </c>
      <c r="Q133" s="48">
        <f>VLOOKUP($A133,'Página11'!$A$1:$S$27,COLUMN(),TRUE)</f>
        <v>12038.741</v>
      </c>
      <c r="R133" s="48">
        <f>VLOOKUP($A133,'Página11'!$A$1:$S$27,COLUMN(),TRUE)</f>
        <v>19209.39125</v>
      </c>
      <c r="S133" s="48">
        <f>VLOOKUP($A133,'Página11'!$A$1:$S$27,COLUMN(),TRUE)</f>
        <v>8337.5</v>
      </c>
      <c r="T133" s="73">
        <f t="shared" si="5"/>
        <v>2026</v>
      </c>
      <c r="U133" s="73">
        <f t="shared" si="6"/>
        <v>12</v>
      </c>
    </row>
    <row r="134">
      <c r="A134" s="34">
        <v>46388.0</v>
      </c>
      <c r="B134" s="48">
        <f t="shared" si="7"/>
        <v>45951.07</v>
      </c>
      <c r="C134" s="48">
        <f>ROUND(IF(MONTH($A134)=12,2.333,1)*VLOOKUP($A134,'Página11'!$A$1:$S$27,COLUMN(),TRUE),2)</f>
        <v>38625.26</v>
      </c>
      <c r="D134" s="48">
        <f t="shared" si="2"/>
        <v>40110.95</v>
      </c>
      <c r="E134" s="48">
        <f>ROUND(IF(MONTH($A134)=12,2.333,1)*VLOOKUP($A134,'Página11'!$A$1:$S$27,COLUMN(),TRUE),2)</f>
        <v>38625.26</v>
      </c>
      <c r="F134" s="48">
        <f>ROUND(IF(MONTH($A134)=12,2.333,1)*VLOOKUP($A134,'Página11'!$A$1:$S$27,COLUMN(),TRUE),2)</f>
        <v>36694</v>
      </c>
      <c r="G134" s="48">
        <f t="shared" si="8"/>
        <v>30947.21</v>
      </c>
      <c r="H134" s="48">
        <f>ROUND(IF(MONTH($A134)=12,2.333,1)*VLOOKUP($A134,'Página11'!$A$1:$S$27,COLUMN(),TRUE),2)</f>
        <v>24414.96</v>
      </c>
      <c r="I134" s="48">
        <f t="shared" si="4"/>
        <v>26713.14</v>
      </c>
      <c r="J134" s="48">
        <f>ROUND(IF(MONTH($A134)=12,2.333,1)*VLOOKUP($A134,'Página11'!$A$1:$S$27,COLUMN(),TRUE),2)</f>
        <v>24414.96</v>
      </c>
      <c r="K134" s="48">
        <f>ROUND(IF(MONTH($A134)=12,2.333,1)*VLOOKUP($A134,'Página11'!$A$1:$S$27,COLUMN(),TRUE),2)</f>
        <v>23280.82</v>
      </c>
      <c r="L134" s="48">
        <f>VLOOKUP($A134,'Página11'!$A$1:$S$27,COLUMN(),TRUE)</f>
        <v>29761.03</v>
      </c>
      <c r="M134" s="48">
        <f>VLOOKUP($A134,'Página11'!$A$1:$S$27,COLUMN(),TRUE)</f>
        <v>16605.16</v>
      </c>
      <c r="N134" s="48">
        <f>VLOOKUP($A134,'Página11'!$A$1:$S$27,COLUMN(),TRUE)</f>
        <v>29760.95</v>
      </c>
      <c r="O134" s="48">
        <f>VLOOKUP($A134,'Página11'!$A$1:$S$27,COLUMN(),TRUE)</f>
        <v>11500</v>
      </c>
      <c r="P134" s="48">
        <f>VLOOKUP($A134,'Página11'!$A$1:$S$27,COLUMN(),TRUE)</f>
        <v>19209.43475</v>
      </c>
      <c r="Q134" s="48">
        <f>VLOOKUP($A134,'Página11'!$A$1:$S$27,COLUMN(),TRUE)</f>
        <v>12038.741</v>
      </c>
      <c r="R134" s="48">
        <f>VLOOKUP($A134,'Página11'!$A$1:$S$27,COLUMN(),TRUE)</f>
        <v>19209.39125</v>
      </c>
      <c r="S134" s="48">
        <f>VLOOKUP($A134,'Página11'!$A$1:$S$27,COLUMN(),TRUE)</f>
        <v>8337.5</v>
      </c>
      <c r="T134" s="73">
        <f t="shared" si="5"/>
        <v>2027</v>
      </c>
      <c r="U134" s="73">
        <f t="shared" si="6"/>
        <v>1</v>
      </c>
    </row>
    <row r="135">
      <c r="A135" s="34">
        <v>46419.0</v>
      </c>
      <c r="B135" s="48">
        <f t="shared" si="7"/>
        <v>45951.07</v>
      </c>
      <c r="C135" s="48">
        <f>ROUND(IF(MONTH($A135)=12,2.333,1)*VLOOKUP($A135,'Página11'!$A$1:$S$27,COLUMN(),TRUE),2)</f>
        <v>38625.26</v>
      </c>
      <c r="D135" s="48">
        <f t="shared" si="2"/>
        <v>40473.2</v>
      </c>
      <c r="E135" s="48">
        <f>ROUND(IF(MONTH($A135)=12,2.333,1)*VLOOKUP($A135,'Página11'!$A$1:$S$27,COLUMN(),TRUE),2)</f>
        <v>38625.26</v>
      </c>
      <c r="F135" s="48">
        <f>ROUND(IF(MONTH($A135)=12,2.333,1)*VLOOKUP($A135,'Página11'!$A$1:$S$27,COLUMN(),TRUE),2)</f>
        <v>36694</v>
      </c>
      <c r="G135" s="48">
        <f t="shared" si="8"/>
        <v>30947.21</v>
      </c>
      <c r="H135" s="48">
        <f>ROUND(IF(MONTH($A135)=12,2.333,1)*VLOOKUP($A135,'Página11'!$A$1:$S$27,COLUMN(),TRUE),2)</f>
        <v>24414.96</v>
      </c>
      <c r="I135" s="48">
        <f t="shared" si="4"/>
        <v>26975.77</v>
      </c>
      <c r="J135" s="48">
        <f>ROUND(IF(MONTH($A135)=12,2.333,1)*VLOOKUP($A135,'Página11'!$A$1:$S$27,COLUMN(),TRUE),2)</f>
        <v>24414.96</v>
      </c>
      <c r="K135" s="48">
        <f>ROUND(IF(MONTH($A135)=12,2.333,1)*VLOOKUP($A135,'Página11'!$A$1:$S$27,COLUMN(),TRUE),2)</f>
        <v>23280.82</v>
      </c>
      <c r="L135" s="48">
        <f>VLOOKUP($A135,'Página11'!$A$1:$S$27,COLUMN(),TRUE)</f>
        <v>29761.03</v>
      </c>
      <c r="M135" s="48">
        <f>VLOOKUP($A135,'Página11'!$A$1:$S$27,COLUMN(),TRUE)</f>
        <v>16605.16</v>
      </c>
      <c r="N135" s="48">
        <f>VLOOKUP($A135,'Página11'!$A$1:$S$27,COLUMN(),TRUE)</f>
        <v>29760.95</v>
      </c>
      <c r="O135" s="48">
        <f>VLOOKUP($A135,'Página11'!$A$1:$S$27,COLUMN(),TRUE)</f>
        <v>11902.5</v>
      </c>
      <c r="P135" s="48">
        <f>VLOOKUP($A135,'Página11'!$A$1:$S$27,COLUMN(),TRUE)</f>
        <v>19209.43475</v>
      </c>
      <c r="Q135" s="48">
        <f>VLOOKUP($A135,'Página11'!$A$1:$S$27,COLUMN(),TRUE)</f>
        <v>12038.741</v>
      </c>
      <c r="R135" s="48">
        <f>VLOOKUP($A135,'Página11'!$A$1:$S$27,COLUMN(),TRUE)</f>
        <v>19209.39125</v>
      </c>
      <c r="S135" s="48">
        <f>VLOOKUP($A135,'Página11'!$A$1:$S$27,COLUMN(),TRUE)</f>
        <v>8629.3125</v>
      </c>
      <c r="T135" s="73">
        <f t="shared" si="5"/>
        <v>2027</v>
      </c>
      <c r="U135" s="73">
        <f t="shared" si="6"/>
        <v>2</v>
      </c>
    </row>
    <row r="136">
      <c r="A136" s="34">
        <v>46447.0</v>
      </c>
      <c r="B136" s="48">
        <f t="shared" si="7"/>
        <v>45951.07</v>
      </c>
      <c r="C136" s="48">
        <f>ROUND(IF(MONTH($A136)=12,2.333,1)*VLOOKUP($A136,'Página11'!$A$1:$S$27,COLUMN(),TRUE),2)</f>
        <v>38625.26</v>
      </c>
      <c r="D136" s="48">
        <f t="shared" si="2"/>
        <v>40473.2</v>
      </c>
      <c r="E136" s="48">
        <f>ROUND(IF(MONTH($A136)=12,2.333,1)*VLOOKUP($A136,'Página11'!$A$1:$S$27,COLUMN(),TRUE),2)</f>
        <v>38625.26</v>
      </c>
      <c r="F136" s="48">
        <f>ROUND(IF(MONTH($A136)=12,2.333,1)*VLOOKUP($A136,'Página11'!$A$1:$S$27,COLUMN(),TRUE),2)</f>
        <v>36694</v>
      </c>
      <c r="G136" s="48">
        <f t="shared" si="8"/>
        <v>30947.21</v>
      </c>
      <c r="H136" s="48">
        <f>ROUND(IF(MONTH($A136)=12,2.333,1)*VLOOKUP($A136,'Página11'!$A$1:$S$27,COLUMN(),TRUE),2)</f>
        <v>24414.96</v>
      </c>
      <c r="I136" s="48">
        <f t="shared" si="4"/>
        <v>26975.77</v>
      </c>
      <c r="J136" s="48">
        <f>ROUND(IF(MONTH($A136)=12,2.333,1)*VLOOKUP($A136,'Página11'!$A$1:$S$27,COLUMN(),TRUE),2)</f>
        <v>24414.96</v>
      </c>
      <c r="K136" s="48">
        <f>ROUND(IF(MONTH($A136)=12,2.333,1)*VLOOKUP($A136,'Página11'!$A$1:$S$27,COLUMN(),TRUE),2)</f>
        <v>23280.82</v>
      </c>
      <c r="L136" s="48">
        <f>VLOOKUP($A136,'Página11'!$A$1:$S$27,COLUMN(),TRUE)</f>
        <v>29761.03</v>
      </c>
      <c r="M136" s="48">
        <f>VLOOKUP($A136,'Página11'!$A$1:$S$27,COLUMN(),TRUE)</f>
        <v>16605.16</v>
      </c>
      <c r="N136" s="48">
        <f>VLOOKUP($A136,'Página11'!$A$1:$S$27,COLUMN(),TRUE)</f>
        <v>29760.95</v>
      </c>
      <c r="O136" s="48">
        <f>VLOOKUP($A136,'Página11'!$A$1:$S$27,COLUMN(),TRUE)</f>
        <v>11902.5</v>
      </c>
      <c r="P136" s="48">
        <f>VLOOKUP($A136,'Página11'!$A$1:$S$27,COLUMN(),TRUE)</f>
        <v>19209.43475</v>
      </c>
      <c r="Q136" s="48">
        <f>VLOOKUP($A136,'Página11'!$A$1:$S$27,COLUMN(),TRUE)</f>
        <v>12038.741</v>
      </c>
      <c r="R136" s="48">
        <f>VLOOKUP($A136,'Página11'!$A$1:$S$27,COLUMN(),TRUE)</f>
        <v>19209.39125</v>
      </c>
      <c r="S136" s="48">
        <f>VLOOKUP($A136,'Página11'!$A$1:$S$27,COLUMN(),TRUE)</f>
        <v>8629.3125</v>
      </c>
      <c r="T136" s="73">
        <f t="shared" si="5"/>
        <v>2027</v>
      </c>
      <c r="U136" s="73">
        <f t="shared" si="6"/>
        <v>3</v>
      </c>
    </row>
    <row r="137">
      <c r="A137" s="34">
        <v>46478.0</v>
      </c>
      <c r="B137" s="48">
        <f t="shared" si="7"/>
        <v>45951.07</v>
      </c>
      <c r="C137" s="48">
        <f>ROUND(IF(MONTH($A137)=12,2.333,1)*VLOOKUP($A137,'Página11'!$A$1:$S$27,COLUMN(),TRUE),2)</f>
        <v>38625.26</v>
      </c>
      <c r="D137" s="48">
        <f t="shared" si="2"/>
        <v>40473.2</v>
      </c>
      <c r="E137" s="48">
        <f>ROUND(IF(MONTH($A137)=12,2.333,1)*VLOOKUP($A137,'Página11'!$A$1:$S$27,COLUMN(),TRUE),2)</f>
        <v>38625.26</v>
      </c>
      <c r="F137" s="48">
        <f>ROUND(IF(MONTH($A137)=12,2.333,1)*VLOOKUP($A137,'Página11'!$A$1:$S$27,COLUMN(),TRUE),2)</f>
        <v>36694</v>
      </c>
      <c r="G137" s="48">
        <f t="shared" si="8"/>
        <v>30947.21</v>
      </c>
      <c r="H137" s="48">
        <f>ROUND(IF(MONTH($A137)=12,2.333,1)*VLOOKUP($A137,'Página11'!$A$1:$S$27,COLUMN(),TRUE),2)</f>
        <v>24414.96</v>
      </c>
      <c r="I137" s="48">
        <f t="shared" si="4"/>
        <v>26975.77</v>
      </c>
      <c r="J137" s="48">
        <f>ROUND(IF(MONTH($A137)=12,2.333,1)*VLOOKUP($A137,'Página11'!$A$1:$S$27,COLUMN(),TRUE),2)</f>
        <v>24414.96</v>
      </c>
      <c r="K137" s="48">
        <f>ROUND(IF(MONTH($A137)=12,2.333,1)*VLOOKUP($A137,'Página11'!$A$1:$S$27,COLUMN(),TRUE),2)</f>
        <v>23280.82</v>
      </c>
      <c r="L137" s="48">
        <f>VLOOKUP($A137,'Página11'!$A$1:$S$27,COLUMN(),TRUE)</f>
        <v>29761.03</v>
      </c>
      <c r="M137" s="48">
        <f>VLOOKUP($A137,'Página11'!$A$1:$S$27,COLUMN(),TRUE)</f>
        <v>16605.16</v>
      </c>
      <c r="N137" s="48">
        <f>VLOOKUP($A137,'Página11'!$A$1:$S$27,COLUMN(),TRUE)</f>
        <v>29760.95</v>
      </c>
      <c r="O137" s="48">
        <f>VLOOKUP($A137,'Página11'!$A$1:$S$27,COLUMN(),TRUE)</f>
        <v>11902.5</v>
      </c>
      <c r="P137" s="48">
        <f>VLOOKUP($A137,'Página11'!$A$1:$S$27,COLUMN(),TRUE)</f>
        <v>19209.43475</v>
      </c>
      <c r="Q137" s="48">
        <f>VLOOKUP($A137,'Página11'!$A$1:$S$27,COLUMN(),TRUE)</f>
        <v>12038.741</v>
      </c>
      <c r="R137" s="48">
        <f>VLOOKUP($A137,'Página11'!$A$1:$S$27,COLUMN(),TRUE)</f>
        <v>19209.39125</v>
      </c>
      <c r="S137" s="48">
        <f>VLOOKUP($A137,'Página11'!$A$1:$S$27,COLUMN(),TRUE)</f>
        <v>8629.3125</v>
      </c>
      <c r="T137" s="73">
        <f t="shared" si="5"/>
        <v>2027</v>
      </c>
      <c r="U137" s="73">
        <f t="shared" si="6"/>
        <v>4</v>
      </c>
    </row>
    <row r="138">
      <c r="A138" s="34">
        <v>46508.0</v>
      </c>
      <c r="B138" s="48">
        <f t="shared" si="7"/>
        <v>45951.07</v>
      </c>
      <c r="C138" s="48">
        <f>ROUND(IF(MONTH($A138)=12,2.333,1)*VLOOKUP($A138,'Página11'!$A$1:$S$27,COLUMN(),TRUE),2)</f>
        <v>38625.26</v>
      </c>
      <c r="D138" s="48">
        <f t="shared" si="2"/>
        <v>40473.2</v>
      </c>
      <c r="E138" s="48">
        <f>ROUND(IF(MONTH($A138)=12,2.333,1)*VLOOKUP($A138,'Página11'!$A$1:$S$27,COLUMN(),TRUE),2)</f>
        <v>38625.26</v>
      </c>
      <c r="F138" s="48">
        <f>ROUND(IF(MONTH($A138)=12,2.333,1)*VLOOKUP($A138,'Página11'!$A$1:$S$27,COLUMN(),TRUE),2)</f>
        <v>36694</v>
      </c>
      <c r="G138" s="48">
        <f t="shared" si="8"/>
        <v>30947.21</v>
      </c>
      <c r="H138" s="48">
        <f>ROUND(IF(MONTH($A138)=12,2.333,1)*VLOOKUP($A138,'Página11'!$A$1:$S$27,COLUMN(),TRUE),2)</f>
        <v>24414.96</v>
      </c>
      <c r="I138" s="48">
        <f t="shared" si="4"/>
        <v>26975.77</v>
      </c>
      <c r="J138" s="48">
        <f>ROUND(IF(MONTH($A138)=12,2.333,1)*VLOOKUP($A138,'Página11'!$A$1:$S$27,COLUMN(),TRUE),2)</f>
        <v>24414.96</v>
      </c>
      <c r="K138" s="48">
        <f>ROUND(IF(MONTH($A138)=12,2.333,1)*VLOOKUP($A138,'Página11'!$A$1:$S$27,COLUMN(),TRUE),2)</f>
        <v>23280.82</v>
      </c>
      <c r="L138" s="48">
        <f>VLOOKUP($A138,'Página11'!$A$1:$S$27,COLUMN(),TRUE)</f>
        <v>29761.03</v>
      </c>
      <c r="M138" s="48">
        <f>VLOOKUP($A138,'Página11'!$A$1:$S$27,COLUMN(),TRUE)</f>
        <v>16605.16</v>
      </c>
      <c r="N138" s="48">
        <f>VLOOKUP($A138,'Página11'!$A$1:$S$27,COLUMN(),TRUE)</f>
        <v>29760.95</v>
      </c>
      <c r="O138" s="48">
        <f>VLOOKUP($A138,'Página11'!$A$1:$S$27,COLUMN(),TRUE)</f>
        <v>11902.5</v>
      </c>
      <c r="P138" s="48">
        <f>VLOOKUP($A138,'Página11'!$A$1:$S$27,COLUMN(),TRUE)</f>
        <v>19209.43475</v>
      </c>
      <c r="Q138" s="48">
        <f>VLOOKUP($A138,'Página11'!$A$1:$S$27,COLUMN(),TRUE)</f>
        <v>12038.741</v>
      </c>
      <c r="R138" s="48">
        <f>VLOOKUP($A138,'Página11'!$A$1:$S$27,COLUMN(),TRUE)</f>
        <v>19209.39125</v>
      </c>
      <c r="S138" s="48">
        <f>VLOOKUP($A138,'Página11'!$A$1:$S$27,COLUMN(),TRUE)</f>
        <v>8629.3125</v>
      </c>
      <c r="T138" s="73">
        <f t="shared" si="5"/>
        <v>2027</v>
      </c>
      <c r="U138" s="73">
        <f t="shared" si="6"/>
        <v>5</v>
      </c>
    </row>
    <row r="139">
      <c r="A139" s="34">
        <v>46539.0</v>
      </c>
      <c r="B139" s="48">
        <f t="shared" si="7"/>
        <v>45951.07</v>
      </c>
      <c r="C139" s="48">
        <f>ROUND(IF(MONTH($A139)=12,2.333,1)*VLOOKUP($A139,'Página11'!$A$1:$S$27,COLUMN(),TRUE),2)</f>
        <v>38625.26</v>
      </c>
      <c r="D139" s="48">
        <f t="shared" si="2"/>
        <v>40473.2</v>
      </c>
      <c r="E139" s="48">
        <f>ROUND(IF(MONTH($A139)=12,2.333,1)*VLOOKUP($A139,'Página11'!$A$1:$S$27,COLUMN(),TRUE),2)</f>
        <v>38625.26</v>
      </c>
      <c r="F139" s="48">
        <f>ROUND(IF(MONTH($A139)=12,2.333,1)*VLOOKUP($A139,'Página11'!$A$1:$S$27,COLUMN(),TRUE),2)</f>
        <v>36694</v>
      </c>
      <c r="G139" s="48">
        <f t="shared" si="8"/>
        <v>30947.21</v>
      </c>
      <c r="H139" s="48">
        <f>ROUND(IF(MONTH($A139)=12,2.333,1)*VLOOKUP($A139,'Página11'!$A$1:$S$27,COLUMN(),TRUE),2)</f>
        <v>24414.96</v>
      </c>
      <c r="I139" s="48">
        <f t="shared" si="4"/>
        <v>26975.77</v>
      </c>
      <c r="J139" s="48">
        <f>ROUND(IF(MONTH($A139)=12,2.333,1)*VLOOKUP($A139,'Página11'!$A$1:$S$27,COLUMN(),TRUE),2)</f>
        <v>24414.96</v>
      </c>
      <c r="K139" s="48">
        <f>ROUND(IF(MONTH($A139)=12,2.333,1)*VLOOKUP($A139,'Página11'!$A$1:$S$27,COLUMN(),TRUE),2)</f>
        <v>23280.82</v>
      </c>
      <c r="L139" s="48">
        <f>VLOOKUP($A139,'Página11'!$A$1:$S$27,COLUMN(),TRUE)</f>
        <v>29761.03</v>
      </c>
      <c r="M139" s="48">
        <f>VLOOKUP($A139,'Página11'!$A$1:$S$27,COLUMN(),TRUE)</f>
        <v>16605.16</v>
      </c>
      <c r="N139" s="48">
        <f>VLOOKUP($A139,'Página11'!$A$1:$S$27,COLUMN(),TRUE)</f>
        <v>29760.95</v>
      </c>
      <c r="O139" s="48">
        <f>VLOOKUP($A139,'Página11'!$A$1:$S$27,COLUMN(),TRUE)</f>
        <v>11902.5</v>
      </c>
      <c r="P139" s="48">
        <f>VLOOKUP($A139,'Página11'!$A$1:$S$27,COLUMN(),TRUE)</f>
        <v>19209.43475</v>
      </c>
      <c r="Q139" s="48">
        <f>VLOOKUP($A139,'Página11'!$A$1:$S$27,COLUMN(),TRUE)</f>
        <v>12038.741</v>
      </c>
      <c r="R139" s="48">
        <f>VLOOKUP($A139,'Página11'!$A$1:$S$27,COLUMN(),TRUE)</f>
        <v>19209.39125</v>
      </c>
      <c r="S139" s="48">
        <f>VLOOKUP($A139,'Página11'!$A$1:$S$27,COLUMN(),TRUE)</f>
        <v>8629.3125</v>
      </c>
      <c r="T139" s="73">
        <f t="shared" si="5"/>
        <v>2027</v>
      </c>
      <c r="U139" s="73">
        <f t="shared" si="6"/>
        <v>6</v>
      </c>
    </row>
    <row r="140">
      <c r="A140" s="34">
        <v>46569.0</v>
      </c>
      <c r="B140" s="48">
        <f t="shared" si="7"/>
        <v>45951.07</v>
      </c>
      <c r="C140" s="48">
        <f>ROUND(IF(MONTH($A140)=12,2.333,1)*VLOOKUP($A140,'Página11'!$A$1:$S$27,COLUMN(),TRUE),2)</f>
        <v>38625.26</v>
      </c>
      <c r="D140" s="48">
        <f t="shared" si="2"/>
        <v>40473.2</v>
      </c>
      <c r="E140" s="48">
        <f>ROUND(IF(MONTH($A140)=12,2.333,1)*VLOOKUP($A140,'Página11'!$A$1:$S$27,COLUMN(),TRUE),2)</f>
        <v>38625.26</v>
      </c>
      <c r="F140" s="48">
        <f>ROUND(IF(MONTH($A140)=12,2.333,1)*VLOOKUP($A140,'Página11'!$A$1:$S$27,COLUMN(),TRUE),2)</f>
        <v>36694</v>
      </c>
      <c r="G140" s="48">
        <f t="shared" si="8"/>
        <v>30947.21</v>
      </c>
      <c r="H140" s="48">
        <f>ROUND(IF(MONTH($A140)=12,2.333,1)*VLOOKUP($A140,'Página11'!$A$1:$S$27,COLUMN(),TRUE),2)</f>
        <v>24414.96</v>
      </c>
      <c r="I140" s="48">
        <f t="shared" si="4"/>
        <v>26975.77</v>
      </c>
      <c r="J140" s="48">
        <f>ROUND(IF(MONTH($A140)=12,2.333,1)*VLOOKUP($A140,'Página11'!$A$1:$S$27,COLUMN(),TRUE),2)</f>
        <v>24414.96</v>
      </c>
      <c r="K140" s="48">
        <f>ROUND(IF(MONTH($A140)=12,2.333,1)*VLOOKUP($A140,'Página11'!$A$1:$S$27,COLUMN(),TRUE),2)</f>
        <v>23280.82</v>
      </c>
      <c r="L140" s="48">
        <f>VLOOKUP($A140,'Página11'!$A$1:$S$27,COLUMN(),TRUE)</f>
        <v>29761.03</v>
      </c>
      <c r="M140" s="48">
        <f>VLOOKUP($A140,'Página11'!$A$1:$S$27,COLUMN(),TRUE)</f>
        <v>16605.16</v>
      </c>
      <c r="N140" s="48">
        <f>VLOOKUP($A140,'Página11'!$A$1:$S$27,COLUMN(),TRUE)</f>
        <v>29760.95</v>
      </c>
      <c r="O140" s="48">
        <f>VLOOKUP($A140,'Página11'!$A$1:$S$27,COLUMN(),TRUE)</f>
        <v>11902.5</v>
      </c>
      <c r="P140" s="48">
        <f>VLOOKUP($A140,'Página11'!$A$1:$S$27,COLUMN(),TRUE)</f>
        <v>19209.43475</v>
      </c>
      <c r="Q140" s="48">
        <f>VLOOKUP($A140,'Página11'!$A$1:$S$27,COLUMN(),TRUE)</f>
        <v>12038.741</v>
      </c>
      <c r="R140" s="48">
        <f>VLOOKUP($A140,'Página11'!$A$1:$S$27,COLUMN(),TRUE)</f>
        <v>19209.39125</v>
      </c>
      <c r="S140" s="48">
        <f>VLOOKUP($A140,'Página11'!$A$1:$S$27,COLUMN(),TRUE)</f>
        <v>8629.3125</v>
      </c>
      <c r="T140" s="73">
        <f t="shared" si="5"/>
        <v>2027</v>
      </c>
      <c r="U140" s="73">
        <f t="shared" si="6"/>
        <v>7</v>
      </c>
    </row>
    <row r="141">
      <c r="A141" s="34">
        <v>46600.0</v>
      </c>
      <c r="B141" s="48">
        <f t="shared" si="7"/>
        <v>45951.07</v>
      </c>
      <c r="C141" s="48">
        <f>ROUND(IF(MONTH($A141)=12,2.333,1)*VLOOKUP($A141,'Página11'!$A$1:$S$27,COLUMN(),TRUE),2)</f>
        <v>38625.26</v>
      </c>
      <c r="D141" s="48">
        <f t="shared" si="2"/>
        <v>40473.2</v>
      </c>
      <c r="E141" s="48">
        <f>ROUND(IF(MONTH($A141)=12,2.333,1)*VLOOKUP($A141,'Página11'!$A$1:$S$27,COLUMN(),TRUE),2)</f>
        <v>38625.26</v>
      </c>
      <c r="F141" s="48">
        <f>ROUND(IF(MONTH($A141)=12,2.333,1)*VLOOKUP($A141,'Página11'!$A$1:$S$27,COLUMN(),TRUE),2)</f>
        <v>36694</v>
      </c>
      <c r="G141" s="48">
        <f t="shared" si="8"/>
        <v>30947.21</v>
      </c>
      <c r="H141" s="48">
        <f>ROUND(IF(MONTH($A141)=12,2.333,1)*VLOOKUP($A141,'Página11'!$A$1:$S$27,COLUMN(),TRUE),2)</f>
        <v>24414.96</v>
      </c>
      <c r="I141" s="48">
        <f t="shared" si="4"/>
        <v>26975.77</v>
      </c>
      <c r="J141" s="48">
        <f>ROUND(IF(MONTH($A141)=12,2.333,1)*VLOOKUP($A141,'Página11'!$A$1:$S$27,COLUMN(),TRUE),2)</f>
        <v>24414.96</v>
      </c>
      <c r="K141" s="48">
        <f>ROUND(IF(MONTH($A141)=12,2.333,1)*VLOOKUP($A141,'Página11'!$A$1:$S$27,COLUMN(),TRUE),2)</f>
        <v>23280.82</v>
      </c>
      <c r="L141" s="48">
        <f>VLOOKUP($A141,'Página11'!$A$1:$S$27,COLUMN(),TRUE)</f>
        <v>29761.03</v>
      </c>
      <c r="M141" s="48">
        <f>VLOOKUP($A141,'Página11'!$A$1:$S$27,COLUMN(),TRUE)</f>
        <v>16605.16</v>
      </c>
      <c r="N141" s="48">
        <f>VLOOKUP($A141,'Página11'!$A$1:$S$27,COLUMN(),TRUE)</f>
        <v>29760.95</v>
      </c>
      <c r="O141" s="48">
        <f>VLOOKUP($A141,'Página11'!$A$1:$S$27,COLUMN(),TRUE)</f>
        <v>11902.5</v>
      </c>
      <c r="P141" s="48">
        <f>VLOOKUP($A141,'Página11'!$A$1:$S$27,COLUMN(),TRUE)</f>
        <v>19209.43475</v>
      </c>
      <c r="Q141" s="48">
        <f>VLOOKUP($A141,'Página11'!$A$1:$S$27,COLUMN(),TRUE)</f>
        <v>12038.741</v>
      </c>
      <c r="R141" s="48">
        <f>VLOOKUP($A141,'Página11'!$A$1:$S$27,COLUMN(),TRUE)</f>
        <v>19209.39125</v>
      </c>
      <c r="S141" s="48">
        <f>VLOOKUP($A141,'Página11'!$A$1:$S$27,COLUMN(),TRUE)</f>
        <v>8629.3125</v>
      </c>
      <c r="T141" s="73">
        <f t="shared" si="5"/>
        <v>2027</v>
      </c>
      <c r="U141" s="73">
        <f t="shared" si="6"/>
        <v>8</v>
      </c>
    </row>
    <row r="142">
      <c r="A142" s="34">
        <v>46631.0</v>
      </c>
      <c r="B142" s="48">
        <f t="shared" si="7"/>
        <v>45951.07</v>
      </c>
      <c r="C142" s="48">
        <f>ROUND(IF(MONTH($A142)=12,2.333,1)*VLOOKUP($A142,'Página11'!$A$1:$S$27,COLUMN(),TRUE),2)</f>
        <v>38625.26</v>
      </c>
      <c r="D142" s="48">
        <f t="shared" si="2"/>
        <v>40473.2</v>
      </c>
      <c r="E142" s="48">
        <f>ROUND(IF(MONTH($A142)=12,2.333,1)*VLOOKUP($A142,'Página11'!$A$1:$S$27,COLUMN(),TRUE),2)</f>
        <v>38625.26</v>
      </c>
      <c r="F142" s="48">
        <f>ROUND(IF(MONTH($A142)=12,2.333,1)*VLOOKUP($A142,'Página11'!$A$1:$S$27,COLUMN(),TRUE),2)</f>
        <v>36694</v>
      </c>
      <c r="G142" s="48">
        <f t="shared" si="8"/>
        <v>30947.21</v>
      </c>
      <c r="H142" s="48">
        <f>ROUND(IF(MONTH($A142)=12,2.333,1)*VLOOKUP($A142,'Página11'!$A$1:$S$27,COLUMN(),TRUE),2)</f>
        <v>24414.96</v>
      </c>
      <c r="I142" s="48">
        <f t="shared" si="4"/>
        <v>26975.77</v>
      </c>
      <c r="J142" s="48">
        <f>ROUND(IF(MONTH($A142)=12,2.333,1)*VLOOKUP($A142,'Página11'!$A$1:$S$27,COLUMN(),TRUE),2)</f>
        <v>24414.96</v>
      </c>
      <c r="K142" s="48">
        <f>ROUND(IF(MONTH($A142)=12,2.333,1)*VLOOKUP($A142,'Página11'!$A$1:$S$27,COLUMN(),TRUE),2)</f>
        <v>23280.82</v>
      </c>
      <c r="L142" s="48">
        <f>VLOOKUP($A142,'Página11'!$A$1:$S$27,COLUMN(),TRUE)</f>
        <v>29761.03</v>
      </c>
      <c r="M142" s="48">
        <f>VLOOKUP($A142,'Página11'!$A$1:$S$27,COLUMN(),TRUE)</f>
        <v>16605.16</v>
      </c>
      <c r="N142" s="48">
        <f>VLOOKUP($A142,'Página11'!$A$1:$S$27,COLUMN(),TRUE)</f>
        <v>29760.95</v>
      </c>
      <c r="O142" s="48">
        <f>VLOOKUP($A142,'Página11'!$A$1:$S$27,COLUMN(),TRUE)</f>
        <v>11902.5</v>
      </c>
      <c r="P142" s="48">
        <f>VLOOKUP($A142,'Página11'!$A$1:$S$27,COLUMN(),TRUE)</f>
        <v>19209.43475</v>
      </c>
      <c r="Q142" s="48">
        <f>VLOOKUP($A142,'Página11'!$A$1:$S$27,COLUMN(),TRUE)</f>
        <v>12038.741</v>
      </c>
      <c r="R142" s="48">
        <f>VLOOKUP($A142,'Página11'!$A$1:$S$27,COLUMN(),TRUE)</f>
        <v>19209.39125</v>
      </c>
      <c r="S142" s="48">
        <f>VLOOKUP($A142,'Página11'!$A$1:$S$27,COLUMN(),TRUE)</f>
        <v>8629.3125</v>
      </c>
      <c r="T142" s="73">
        <f t="shared" si="5"/>
        <v>2027</v>
      </c>
      <c r="U142" s="73">
        <f t="shared" si="6"/>
        <v>9</v>
      </c>
    </row>
    <row r="143">
      <c r="A143" s="34">
        <v>46661.0</v>
      </c>
      <c r="B143" s="48">
        <f t="shared" si="7"/>
        <v>45951.07</v>
      </c>
      <c r="C143" s="48">
        <f>ROUND(IF(MONTH($A143)=12,2.333,1)*VLOOKUP($A143,'Página11'!$A$1:$S$27,COLUMN(),TRUE),2)</f>
        <v>38625.26</v>
      </c>
      <c r="D143" s="48">
        <f t="shared" si="2"/>
        <v>40473.2</v>
      </c>
      <c r="E143" s="48">
        <f>ROUND(IF(MONTH($A143)=12,2.333,1)*VLOOKUP($A143,'Página11'!$A$1:$S$27,COLUMN(),TRUE),2)</f>
        <v>38625.26</v>
      </c>
      <c r="F143" s="48">
        <f>ROUND(IF(MONTH($A143)=12,2.333,1)*VLOOKUP($A143,'Página11'!$A$1:$S$27,COLUMN(),TRUE),2)</f>
        <v>36694</v>
      </c>
      <c r="G143" s="48">
        <f t="shared" si="8"/>
        <v>30947.21</v>
      </c>
      <c r="H143" s="48">
        <f>ROUND(IF(MONTH($A143)=12,2.333,1)*VLOOKUP($A143,'Página11'!$A$1:$S$27,COLUMN(),TRUE),2)</f>
        <v>24414.96</v>
      </c>
      <c r="I143" s="48">
        <f t="shared" si="4"/>
        <v>26975.77</v>
      </c>
      <c r="J143" s="48">
        <f>ROUND(IF(MONTH($A143)=12,2.333,1)*VLOOKUP($A143,'Página11'!$A$1:$S$27,COLUMN(),TRUE),2)</f>
        <v>24414.96</v>
      </c>
      <c r="K143" s="48">
        <f>ROUND(IF(MONTH($A143)=12,2.333,1)*VLOOKUP($A143,'Página11'!$A$1:$S$27,COLUMN(),TRUE),2)</f>
        <v>23280.82</v>
      </c>
      <c r="L143" s="48">
        <f>VLOOKUP($A143,'Página11'!$A$1:$S$27,COLUMN(),TRUE)</f>
        <v>29761.03</v>
      </c>
      <c r="M143" s="48">
        <f>VLOOKUP($A143,'Página11'!$A$1:$S$27,COLUMN(),TRUE)</f>
        <v>16605.16</v>
      </c>
      <c r="N143" s="48">
        <f>VLOOKUP($A143,'Página11'!$A$1:$S$27,COLUMN(),TRUE)</f>
        <v>29760.95</v>
      </c>
      <c r="O143" s="48">
        <f>VLOOKUP($A143,'Página11'!$A$1:$S$27,COLUMN(),TRUE)</f>
        <v>11902.5</v>
      </c>
      <c r="P143" s="48">
        <f>VLOOKUP($A143,'Página11'!$A$1:$S$27,COLUMN(),TRUE)</f>
        <v>19209.43475</v>
      </c>
      <c r="Q143" s="48">
        <f>VLOOKUP($A143,'Página11'!$A$1:$S$27,COLUMN(),TRUE)</f>
        <v>12038.741</v>
      </c>
      <c r="R143" s="48">
        <f>VLOOKUP($A143,'Página11'!$A$1:$S$27,COLUMN(),TRUE)</f>
        <v>19209.39125</v>
      </c>
      <c r="S143" s="48">
        <f>VLOOKUP($A143,'Página11'!$A$1:$S$27,COLUMN(),TRUE)</f>
        <v>8629.3125</v>
      </c>
      <c r="T143" s="73">
        <f t="shared" si="5"/>
        <v>2027</v>
      </c>
      <c r="U143" s="73">
        <f t="shared" si="6"/>
        <v>10</v>
      </c>
    </row>
    <row r="144">
      <c r="A144" s="34">
        <v>46692.0</v>
      </c>
      <c r="B144" s="48">
        <f t="shared" si="7"/>
        <v>45951.07</v>
      </c>
      <c r="C144" s="48">
        <f>ROUND(IF(MONTH($A144)=12,2.333,1)*VLOOKUP($A144,'Página11'!$A$1:$S$27,COLUMN(),TRUE),2)</f>
        <v>38625.26</v>
      </c>
      <c r="D144" s="48">
        <f t="shared" si="2"/>
        <v>40473.2</v>
      </c>
      <c r="E144" s="48">
        <f>ROUND(IF(MONTH($A144)=12,2.333,1)*VLOOKUP($A144,'Página11'!$A$1:$S$27,COLUMN(),TRUE),2)</f>
        <v>38625.26</v>
      </c>
      <c r="F144" s="48">
        <f>ROUND(IF(MONTH($A144)=12,2.333,1)*VLOOKUP($A144,'Página11'!$A$1:$S$27,COLUMN(),TRUE),2)</f>
        <v>36694</v>
      </c>
      <c r="G144" s="48">
        <f t="shared" si="8"/>
        <v>30947.21</v>
      </c>
      <c r="H144" s="48">
        <f>ROUND(IF(MONTH($A144)=12,2.333,1)*VLOOKUP($A144,'Página11'!$A$1:$S$27,COLUMN(),TRUE),2)</f>
        <v>24414.96</v>
      </c>
      <c r="I144" s="48">
        <f t="shared" si="4"/>
        <v>26975.77</v>
      </c>
      <c r="J144" s="48">
        <f>ROUND(IF(MONTH($A144)=12,2.333,1)*VLOOKUP($A144,'Página11'!$A$1:$S$27,COLUMN(),TRUE),2)</f>
        <v>24414.96</v>
      </c>
      <c r="K144" s="48">
        <f>ROUND(IF(MONTH($A144)=12,2.333,1)*VLOOKUP($A144,'Página11'!$A$1:$S$27,COLUMN(),TRUE),2)</f>
        <v>23280.82</v>
      </c>
      <c r="L144" s="48">
        <f>VLOOKUP($A144,'Página11'!$A$1:$S$27,COLUMN(),TRUE)</f>
        <v>29761.03</v>
      </c>
      <c r="M144" s="48">
        <f>VLOOKUP($A144,'Página11'!$A$1:$S$27,COLUMN(),TRUE)</f>
        <v>16605.16</v>
      </c>
      <c r="N144" s="48">
        <f>VLOOKUP($A144,'Página11'!$A$1:$S$27,COLUMN(),TRUE)</f>
        <v>29760.95</v>
      </c>
      <c r="O144" s="48">
        <f>VLOOKUP($A144,'Página11'!$A$1:$S$27,COLUMN(),TRUE)</f>
        <v>11902.5</v>
      </c>
      <c r="P144" s="48">
        <f>VLOOKUP($A144,'Página11'!$A$1:$S$27,COLUMN(),TRUE)</f>
        <v>19209.43475</v>
      </c>
      <c r="Q144" s="48">
        <f>VLOOKUP($A144,'Página11'!$A$1:$S$27,COLUMN(),TRUE)</f>
        <v>12038.741</v>
      </c>
      <c r="R144" s="48">
        <f>VLOOKUP($A144,'Página11'!$A$1:$S$27,COLUMN(),TRUE)</f>
        <v>19209.39125</v>
      </c>
      <c r="S144" s="48">
        <f>VLOOKUP($A144,'Página11'!$A$1:$S$27,COLUMN(),TRUE)</f>
        <v>8629.3125</v>
      </c>
      <c r="T144" s="73">
        <f t="shared" si="5"/>
        <v>2027</v>
      </c>
      <c r="U144" s="73">
        <f t="shared" si="6"/>
        <v>11</v>
      </c>
    </row>
    <row r="145">
      <c r="A145" s="34">
        <v>46722.0</v>
      </c>
      <c r="B145" s="48">
        <f t="shared" si="7"/>
        <v>107203.85</v>
      </c>
      <c r="C145" s="48">
        <f>ROUND(IF(MONTH($A145)=12,2.333,1)*VLOOKUP($A145,'Página11'!$A$1:$S$27,COLUMN(),TRUE),2)</f>
        <v>90112.74</v>
      </c>
      <c r="D145" s="48">
        <f t="shared" si="2"/>
        <v>94423.98</v>
      </c>
      <c r="E145" s="48">
        <f>ROUND(IF(MONTH($A145)=12,2.333,1)*VLOOKUP($A145,'Página11'!$A$1:$S$27,COLUMN(),TRUE),2)</f>
        <v>90112.74</v>
      </c>
      <c r="F145" s="48">
        <f>ROUND(IF(MONTH($A145)=12,2.333,1)*VLOOKUP($A145,'Página11'!$A$1:$S$27,COLUMN(),TRUE),2)</f>
        <v>85607.1</v>
      </c>
      <c r="G145" s="48">
        <f t="shared" si="8"/>
        <v>72199.85</v>
      </c>
      <c r="H145" s="48">
        <f>ROUND(IF(MONTH($A145)=12,2.333,1)*VLOOKUP($A145,'Página11'!$A$1:$S$27,COLUMN(),TRUE),2)</f>
        <v>56960.1</v>
      </c>
      <c r="I145" s="48">
        <f t="shared" si="4"/>
        <v>62934.47</v>
      </c>
      <c r="J145" s="48">
        <f>ROUND(IF(MONTH($A145)=12,2.333,1)*VLOOKUP($A145,'Página11'!$A$1:$S$27,COLUMN(),TRUE),2)</f>
        <v>56960.1</v>
      </c>
      <c r="K145" s="48">
        <f>ROUND(IF(MONTH($A145)=12,2.333,1)*VLOOKUP($A145,'Página11'!$A$1:$S$27,COLUMN(),TRUE),2)</f>
        <v>54314.16</v>
      </c>
      <c r="L145" s="48">
        <f>VLOOKUP($A145,'Página11'!$A$1:$S$27,COLUMN(),TRUE)</f>
        <v>29761.03</v>
      </c>
      <c r="M145" s="48">
        <f>VLOOKUP($A145,'Página11'!$A$1:$S$27,COLUMN(),TRUE)</f>
        <v>16605.16</v>
      </c>
      <c r="N145" s="48">
        <f>VLOOKUP($A145,'Página11'!$A$1:$S$27,COLUMN(),TRUE)</f>
        <v>29760.95</v>
      </c>
      <c r="O145" s="48">
        <f>VLOOKUP($A145,'Página11'!$A$1:$S$27,COLUMN(),TRUE)</f>
        <v>11902.5</v>
      </c>
      <c r="P145" s="48">
        <f>VLOOKUP($A145,'Página11'!$A$1:$S$27,COLUMN(),TRUE)</f>
        <v>19209.43475</v>
      </c>
      <c r="Q145" s="48">
        <f>VLOOKUP($A145,'Página11'!$A$1:$S$27,COLUMN(),TRUE)</f>
        <v>12038.741</v>
      </c>
      <c r="R145" s="48">
        <f>VLOOKUP($A145,'Página11'!$A$1:$S$27,COLUMN(),TRUE)</f>
        <v>19209.39125</v>
      </c>
      <c r="S145" s="48">
        <f>VLOOKUP($A145,'Página11'!$A$1:$S$27,COLUMN(),TRUE)</f>
        <v>8629.3125</v>
      </c>
      <c r="T145" s="73">
        <f t="shared" si="5"/>
        <v>2027</v>
      </c>
      <c r="U145" s="73">
        <f t="shared" si="6"/>
        <v>12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1" width="14.5"/>
  </cols>
  <sheetData>
    <row r="1">
      <c r="A1" s="32" t="s">
        <v>9</v>
      </c>
      <c r="B1" s="33" t="str">
        <f>'Página12'!B1</f>
        <v>PGFN | Real (bruto)</v>
      </c>
      <c r="C1" s="33" t="str">
        <f>'Página12'!C1</f>
        <v>PGFN | Ideal (bruto)</v>
      </c>
      <c r="D1" s="33" t="str">
        <f>'Página12'!D1</f>
        <v>SERFB | Real (bruto)</v>
      </c>
      <c r="E1" s="33" t="str">
        <f>'Página12'!E1</f>
        <v>SERFB | Ideal (bruto)</v>
      </c>
      <c r="F1" s="33" t="str">
        <f>'Página12'!F1</f>
        <v>STN (bruto)</v>
      </c>
      <c r="G1" s="33" t="str">
        <f>'Página12'!G1</f>
        <v>PGFN | Real (líquido)</v>
      </c>
      <c r="H1" s="33" t="str">
        <f>'Página12'!H1</f>
        <v>PGFN | Ideal (líquido)</v>
      </c>
      <c r="I1" s="33" t="str">
        <f>'Página12'!I1</f>
        <v>SERFB | Real (líquido)</v>
      </c>
      <c r="J1" s="33" t="str">
        <f>'Página12'!J1</f>
        <v>SERFB | Ideal (líquido)</v>
      </c>
      <c r="K1" s="33" t="str">
        <f>'Página12'!K1</f>
        <v>STN (líquido)</v>
      </c>
    </row>
    <row r="2">
      <c r="A2" s="34">
        <v>42370.0</v>
      </c>
      <c r="B2" s="48">
        <f>'Página12'!B2</f>
        <v>22516.94</v>
      </c>
      <c r="C2" s="48">
        <f>'Página12'!C2</f>
        <v>22516.95</v>
      </c>
      <c r="D2" s="48">
        <f>'Página12'!D2</f>
        <v>22516.88</v>
      </c>
      <c r="E2" s="48">
        <f>'Página12'!E2</f>
        <v>22516.95</v>
      </c>
      <c r="F2" s="48">
        <f>'Página12'!F2</f>
        <v>21391.1</v>
      </c>
      <c r="G2" s="48">
        <f>'Página12'!G2</f>
        <v>15398.42</v>
      </c>
      <c r="H2" s="48">
        <f>'Página12'!H2</f>
        <v>15398.42</v>
      </c>
      <c r="I2" s="48">
        <f>'Página12'!I2</f>
        <v>15398.37</v>
      </c>
      <c r="J2" s="48">
        <f>'Página12'!J2</f>
        <v>15398.42</v>
      </c>
      <c r="K2" s="48">
        <f>'Página12'!K2</f>
        <v>14671.97</v>
      </c>
    </row>
    <row r="3">
      <c r="A3" s="34">
        <v>42401.0</v>
      </c>
      <c r="B3" s="48">
        <f>B2+'Página12'!B3</f>
        <v>45033.88</v>
      </c>
      <c r="C3" s="48">
        <f>C2+'Página12'!C3</f>
        <v>45033.9</v>
      </c>
      <c r="D3" s="48">
        <f>D2+'Página12'!D3</f>
        <v>45033.76</v>
      </c>
      <c r="E3" s="48">
        <f>E2+'Página12'!E3</f>
        <v>45033.9</v>
      </c>
      <c r="F3" s="48">
        <f>F2+'Página12'!F3</f>
        <v>42782.2</v>
      </c>
      <c r="G3" s="48">
        <f>G2+'Página12'!G3</f>
        <v>30796.84</v>
      </c>
      <c r="H3" s="48">
        <f>H2+'Página12'!H3</f>
        <v>30796.84</v>
      </c>
      <c r="I3" s="48">
        <f>I2+'Página12'!I3</f>
        <v>30796.74</v>
      </c>
      <c r="J3" s="48">
        <f>J2+'Página12'!J3</f>
        <v>30796.84</v>
      </c>
      <c r="K3" s="48">
        <f>K2+'Página12'!K3</f>
        <v>29343.94</v>
      </c>
    </row>
    <row r="4">
      <c r="A4" s="34">
        <v>42430.0</v>
      </c>
      <c r="B4" s="48">
        <f>B3+'Página12'!B4</f>
        <v>67550.82</v>
      </c>
      <c r="C4" s="48">
        <f>C3+'Página12'!C4</f>
        <v>67550.85</v>
      </c>
      <c r="D4" s="48">
        <f>D3+'Página12'!D4</f>
        <v>67550.64</v>
      </c>
      <c r="E4" s="48">
        <f>E3+'Página12'!E4</f>
        <v>67550.85</v>
      </c>
      <c r="F4" s="48">
        <f>F3+'Página12'!F4</f>
        <v>64173.3</v>
      </c>
      <c r="G4" s="48">
        <f>G3+'Página12'!G4</f>
        <v>46195.26</v>
      </c>
      <c r="H4" s="48">
        <f>H3+'Página12'!H4</f>
        <v>46195.26</v>
      </c>
      <c r="I4" s="48">
        <f>I3+'Página12'!I4</f>
        <v>46195.11</v>
      </c>
      <c r="J4" s="48">
        <f>J3+'Página12'!J4</f>
        <v>46195.26</v>
      </c>
      <c r="K4" s="48">
        <f>K3+'Página12'!K4</f>
        <v>44015.91</v>
      </c>
    </row>
    <row r="5">
      <c r="A5" s="34">
        <v>42461.0</v>
      </c>
      <c r="B5" s="48">
        <f>B4+'Página12'!B5</f>
        <v>90067.76</v>
      </c>
      <c r="C5" s="48">
        <f>C4+'Página12'!C5</f>
        <v>90067.8</v>
      </c>
      <c r="D5" s="48">
        <f>D4+'Página12'!D5</f>
        <v>90067.52</v>
      </c>
      <c r="E5" s="48">
        <f>E4+'Página12'!E5</f>
        <v>90067.8</v>
      </c>
      <c r="F5" s="48">
        <f>F4+'Página12'!F5</f>
        <v>85564.4</v>
      </c>
      <c r="G5" s="48">
        <f>G4+'Página12'!G5</f>
        <v>61593.68</v>
      </c>
      <c r="H5" s="48">
        <f>H4+'Página12'!H5</f>
        <v>61593.68</v>
      </c>
      <c r="I5" s="48">
        <f>I4+'Página12'!I5</f>
        <v>61593.48</v>
      </c>
      <c r="J5" s="48">
        <f>J4+'Página12'!J5</f>
        <v>61593.68</v>
      </c>
      <c r="K5" s="48">
        <f>K4+'Página12'!K5</f>
        <v>58687.88</v>
      </c>
    </row>
    <row r="6">
      <c r="A6" s="34">
        <v>42491.0</v>
      </c>
      <c r="B6" s="48">
        <f>B5+'Página12'!B6</f>
        <v>112584.7</v>
      </c>
      <c r="C6" s="48">
        <f>C5+'Página12'!C6</f>
        <v>112584.75</v>
      </c>
      <c r="D6" s="48">
        <f>D5+'Página12'!D6</f>
        <v>112584.4</v>
      </c>
      <c r="E6" s="48">
        <f>E5+'Página12'!E6</f>
        <v>112584.75</v>
      </c>
      <c r="F6" s="48">
        <f>F5+'Página12'!F6</f>
        <v>106955.5</v>
      </c>
      <c r="G6" s="48">
        <f>G5+'Página12'!G6</f>
        <v>76992.1</v>
      </c>
      <c r="H6" s="48">
        <f>H5+'Página12'!H6</f>
        <v>76992.1</v>
      </c>
      <c r="I6" s="48">
        <f>I5+'Página12'!I6</f>
        <v>76991.85</v>
      </c>
      <c r="J6" s="48">
        <f>J5+'Página12'!J6</f>
        <v>76992.1</v>
      </c>
      <c r="K6" s="48">
        <f>K5+'Página12'!K6</f>
        <v>73359.85</v>
      </c>
    </row>
    <row r="7">
      <c r="A7" s="34">
        <v>42522.0</v>
      </c>
      <c r="B7" s="48">
        <f>B6+'Página12'!B7</f>
        <v>135101.64</v>
      </c>
      <c r="C7" s="48">
        <f>C6+'Página12'!C7</f>
        <v>135101.7</v>
      </c>
      <c r="D7" s="48">
        <f>D6+'Página12'!D7</f>
        <v>135101.28</v>
      </c>
      <c r="E7" s="48">
        <f>E6+'Página12'!E7</f>
        <v>135101.7</v>
      </c>
      <c r="F7" s="48">
        <f>F6+'Página12'!F7</f>
        <v>128346.6</v>
      </c>
      <c r="G7" s="48">
        <f>G6+'Página12'!G7</f>
        <v>92390.52</v>
      </c>
      <c r="H7" s="48">
        <f>H6+'Página12'!H7</f>
        <v>92390.52</v>
      </c>
      <c r="I7" s="48">
        <f>I6+'Página12'!I7</f>
        <v>92390.22</v>
      </c>
      <c r="J7" s="48">
        <f>J6+'Página12'!J7</f>
        <v>92390.52</v>
      </c>
      <c r="K7" s="48">
        <f>K6+'Página12'!K7</f>
        <v>88031.82</v>
      </c>
    </row>
    <row r="8">
      <c r="A8" s="34">
        <v>42552.0</v>
      </c>
      <c r="B8" s="48">
        <f>B7+'Página12'!B8</f>
        <v>157618.58</v>
      </c>
      <c r="C8" s="48">
        <f>C7+'Página12'!C8</f>
        <v>157618.65</v>
      </c>
      <c r="D8" s="48">
        <f>D7+'Página12'!D8</f>
        <v>157618.16</v>
      </c>
      <c r="E8" s="48">
        <f>E7+'Página12'!E8</f>
        <v>157618.65</v>
      </c>
      <c r="F8" s="48">
        <f>F7+'Página12'!F8</f>
        <v>149737.7</v>
      </c>
      <c r="G8" s="48">
        <f>G7+'Página12'!G8</f>
        <v>107788.94</v>
      </c>
      <c r="H8" s="48">
        <f>H7+'Página12'!H8</f>
        <v>107788.94</v>
      </c>
      <c r="I8" s="48">
        <f>I7+'Página12'!I8</f>
        <v>107788.59</v>
      </c>
      <c r="J8" s="48">
        <f>J7+'Página12'!J8</f>
        <v>107788.94</v>
      </c>
      <c r="K8" s="48">
        <f>K7+'Página12'!K8</f>
        <v>102703.79</v>
      </c>
    </row>
    <row r="9">
      <c r="A9" s="34">
        <v>42583.0</v>
      </c>
      <c r="B9" s="48">
        <f>B8+'Página12'!B9</f>
        <v>184073.95</v>
      </c>
      <c r="C9" s="48">
        <f>C8+'Página12'!C9</f>
        <v>181374.03</v>
      </c>
      <c r="D9" s="48">
        <f>D8+'Página12'!D9</f>
        <v>180135.04</v>
      </c>
      <c r="E9" s="48">
        <f>E8+'Página12'!E9</f>
        <v>181374.03</v>
      </c>
      <c r="F9" s="48">
        <f>F8+'Página12'!F9</f>
        <v>172305.31</v>
      </c>
      <c r="G9" s="48">
        <f>G8+'Página12'!G9</f>
        <v>125943.95</v>
      </c>
      <c r="H9" s="48">
        <f>H8+'Página12'!H9</f>
        <v>123986.46</v>
      </c>
      <c r="I9" s="48">
        <f>I8+'Página12'!I9</f>
        <v>123186.96</v>
      </c>
      <c r="J9" s="48">
        <f>J8+'Página12'!J9</f>
        <v>123986.46</v>
      </c>
      <c r="K9" s="48">
        <f>K8+'Página12'!K9</f>
        <v>118134.9</v>
      </c>
    </row>
    <row r="10">
      <c r="A10" s="34">
        <v>42614.0</v>
      </c>
      <c r="B10" s="48">
        <f>B9+'Página12'!B10</f>
        <v>210529.32</v>
      </c>
      <c r="C10" s="48">
        <f>C9+'Página12'!C10</f>
        <v>205129.41</v>
      </c>
      <c r="D10" s="48">
        <f>D9+'Página12'!D10</f>
        <v>205351.92</v>
      </c>
      <c r="E10" s="48">
        <f>E9+'Página12'!E10</f>
        <v>205129.41</v>
      </c>
      <c r="F10" s="48">
        <f>F9+'Página12'!F10</f>
        <v>194872.92</v>
      </c>
      <c r="G10" s="48">
        <f>G9+'Página12'!G10</f>
        <v>144098.96</v>
      </c>
      <c r="H10" s="48">
        <f>H9+'Página12'!H10</f>
        <v>140183.98</v>
      </c>
      <c r="I10" s="48">
        <f>I9+'Página12'!I10</f>
        <v>140542.83</v>
      </c>
      <c r="J10" s="48">
        <f>J9+'Página12'!J10</f>
        <v>140183.98</v>
      </c>
      <c r="K10" s="48">
        <f>K9+'Página12'!K10</f>
        <v>133566.01</v>
      </c>
    </row>
    <row r="11">
      <c r="A11" s="34">
        <v>42644.0</v>
      </c>
      <c r="B11" s="48">
        <f>B10+'Página12'!B11</f>
        <v>236984.69</v>
      </c>
      <c r="C11" s="48">
        <f>C10+'Página12'!C11</f>
        <v>228884.79</v>
      </c>
      <c r="D11" s="48">
        <f>D10+'Página12'!D11</f>
        <v>230568.8</v>
      </c>
      <c r="E11" s="48">
        <f>E10+'Página12'!E11</f>
        <v>228884.79</v>
      </c>
      <c r="F11" s="48">
        <f>F10+'Página12'!F11</f>
        <v>217440.53</v>
      </c>
      <c r="G11" s="48">
        <f>G10+'Página12'!G11</f>
        <v>162253.97</v>
      </c>
      <c r="H11" s="48">
        <f>H10+'Página12'!H11</f>
        <v>156381.5</v>
      </c>
      <c r="I11" s="48">
        <f>I10+'Página12'!I11</f>
        <v>157898.7</v>
      </c>
      <c r="J11" s="48">
        <f>J10+'Página12'!J11</f>
        <v>156381.5</v>
      </c>
      <c r="K11" s="48">
        <f>K10+'Página12'!K11</f>
        <v>148997.12</v>
      </c>
    </row>
    <row r="12">
      <c r="A12" s="34">
        <v>42675.0</v>
      </c>
      <c r="B12" s="48">
        <f>B11+'Página12'!B12</f>
        <v>263440.06</v>
      </c>
      <c r="C12" s="48">
        <f>C11+'Página12'!C12</f>
        <v>252640.17</v>
      </c>
      <c r="D12" s="48">
        <f>D11+'Página12'!D12</f>
        <v>255785.68</v>
      </c>
      <c r="E12" s="48">
        <f>E11+'Página12'!E12</f>
        <v>252640.17</v>
      </c>
      <c r="F12" s="48">
        <f>F11+'Página12'!F12</f>
        <v>240008.14</v>
      </c>
      <c r="G12" s="48">
        <f>G11+'Página12'!G12</f>
        <v>180408.98</v>
      </c>
      <c r="H12" s="48">
        <f>H11+'Página12'!H12</f>
        <v>172579.02</v>
      </c>
      <c r="I12" s="48">
        <f>I11+'Página12'!I12</f>
        <v>175254.57</v>
      </c>
      <c r="J12" s="48">
        <f>J11+'Página12'!J12</f>
        <v>172579.02</v>
      </c>
      <c r="K12" s="48">
        <f>K11+'Página12'!K12</f>
        <v>164428.23</v>
      </c>
    </row>
    <row r="13">
      <c r="A13" s="34">
        <v>42705.0</v>
      </c>
      <c r="B13" s="48">
        <f>B12+'Página12'!B13</f>
        <v>325160.44</v>
      </c>
      <c r="C13" s="48">
        <f>C12+'Página12'!C13</f>
        <v>308061.47</v>
      </c>
      <c r="D13" s="48">
        <f>D12+'Página12'!D13</f>
        <v>314616.66</v>
      </c>
      <c r="E13" s="48">
        <f>E12+'Página12'!E13</f>
        <v>308061.47</v>
      </c>
      <c r="F13" s="48">
        <f>F12+'Página12'!F13</f>
        <v>292658.37</v>
      </c>
      <c r="G13" s="48">
        <f>G12+'Página12'!G13</f>
        <v>222764.63</v>
      </c>
      <c r="H13" s="48">
        <f>H12+'Página12'!H13</f>
        <v>210367.83</v>
      </c>
      <c r="I13" s="48">
        <f>I12+'Página12'!I13</f>
        <v>215745.83</v>
      </c>
      <c r="J13" s="48">
        <f>J12+'Página12'!J13</f>
        <v>210367.83</v>
      </c>
      <c r="K13" s="48">
        <f>K12+'Página12'!K13</f>
        <v>200429.01</v>
      </c>
    </row>
    <row r="14">
      <c r="A14" s="34">
        <v>42736.0</v>
      </c>
      <c r="B14" s="48">
        <f>B13+'Página12'!B14</f>
        <v>353399.83</v>
      </c>
      <c r="C14" s="48">
        <f>C13+'Página12'!C14</f>
        <v>333474.8</v>
      </c>
      <c r="D14" s="48">
        <f>D13+'Página12'!D14</f>
        <v>342259.73</v>
      </c>
      <c r="E14" s="48">
        <f>E13+'Página12'!E14</f>
        <v>333474.8</v>
      </c>
      <c r="F14" s="48">
        <f>F13+'Página12'!F14</f>
        <v>316801.03</v>
      </c>
      <c r="G14" s="48">
        <f>G13+'Página12'!G14</f>
        <v>242118.33</v>
      </c>
      <c r="H14" s="48">
        <f>H13+'Página12'!H14</f>
        <v>227635.14</v>
      </c>
      <c r="I14" s="48">
        <f>I13+'Página12'!I14</f>
        <v>234667.2</v>
      </c>
      <c r="J14" s="48">
        <f>J13+'Página12'!J14</f>
        <v>227635.14</v>
      </c>
      <c r="K14" s="48">
        <f>K13+'Página12'!K14</f>
        <v>216876.42</v>
      </c>
    </row>
    <row r="15">
      <c r="A15" s="34">
        <v>42767.0</v>
      </c>
      <c r="B15" s="48">
        <f>B14+'Página12'!B15</f>
        <v>381639.22</v>
      </c>
      <c r="C15" s="48">
        <f>C14+'Página12'!C15</f>
        <v>358888.13</v>
      </c>
      <c r="D15" s="48">
        <f>D14+'Página12'!D15</f>
        <v>369902.8</v>
      </c>
      <c r="E15" s="48">
        <f>E14+'Página12'!E15</f>
        <v>358888.13</v>
      </c>
      <c r="F15" s="48">
        <f>F14+'Página12'!F15</f>
        <v>340943.69</v>
      </c>
      <c r="G15" s="48">
        <f>G14+'Página12'!G15</f>
        <v>261472.03</v>
      </c>
      <c r="H15" s="48">
        <f>H14+'Página12'!H15</f>
        <v>244902.45</v>
      </c>
      <c r="I15" s="48">
        <f>I14+'Página12'!I15</f>
        <v>253588.57</v>
      </c>
      <c r="J15" s="48">
        <f>J14+'Página12'!J15</f>
        <v>244902.45</v>
      </c>
      <c r="K15" s="48">
        <f>K14+'Página12'!K15</f>
        <v>233323.83</v>
      </c>
    </row>
    <row r="16">
      <c r="A16" s="34">
        <v>42795.0</v>
      </c>
      <c r="B16" s="48">
        <f>B15+'Página12'!B16</f>
        <v>409878.61</v>
      </c>
      <c r="C16" s="48">
        <f>C15+'Página12'!C16</f>
        <v>384301.46</v>
      </c>
      <c r="D16" s="48">
        <f>D15+'Página12'!D16</f>
        <v>397545.87</v>
      </c>
      <c r="E16" s="48">
        <f>E15+'Página12'!E16</f>
        <v>384301.46</v>
      </c>
      <c r="F16" s="48">
        <f>F15+'Página12'!F16</f>
        <v>365086.35</v>
      </c>
      <c r="G16" s="48">
        <f>G15+'Página12'!G16</f>
        <v>280825.73</v>
      </c>
      <c r="H16" s="48">
        <f>H15+'Página12'!H16</f>
        <v>262169.76</v>
      </c>
      <c r="I16" s="48">
        <f>I15+'Página12'!I16</f>
        <v>272509.94</v>
      </c>
      <c r="J16" s="48">
        <f>J15+'Página12'!J16</f>
        <v>262169.76</v>
      </c>
      <c r="K16" s="48">
        <f>K15+'Página12'!K16</f>
        <v>249771.24</v>
      </c>
    </row>
    <row r="17">
      <c r="A17" s="34">
        <v>42826.0</v>
      </c>
      <c r="B17" s="48">
        <f>B16+'Página12'!B17</f>
        <v>438118</v>
      </c>
      <c r="C17" s="48">
        <f>C16+'Página12'!C17</f>
        <v>409714.79</v>
      </c>
      <c r="D17" s="48">
        <f>D16+'Página12'!D17</f>
        <v>425188.94</v>
      </c>
      <c r="E17" s="48">
        <f>E16+'Página12'!E17</f>
        <v>409714.79</v>
      </c>
      <c r="F17" s="48">
        <f>F16+'Página12'!F17</f>
        <v>389229.01</v>
      </c>
      <c r="G17" s="48">
        <f>G16+'Página12'!G17</f>
        <v>300179.43</v>
      </c>
      <c r="H17" s="48">
        <f>H16+'Página12'!H17</f>
        <v>279437.07</v>
      </c>
      <c r="I17" s="48">
        <f>I16+'Página12'!I17</f>
        <v>291431.31</v>
      </c>
      <c r="J17" s="48">
        <f>J16+'Página12'!J17</f>
        <v>279437.07</v>
      </c>
      <c r="K17" s="48">
        <f>K16+'Página12'!K17</f>
        <v>266218.65</v>
      </c>
    </row>
    <row r="18">
      <c r="A18" s="34">
        <v>42856.0</v>
      </c>
      <c r="B18" s="48">
        <f>B17+'Página12'!B18</f>
        <v>466357.39</v>
      </c>
      <c r="C18" s="48">
        <f>C17+'Página12'!C18</f>
        <v>435128.12</v>
      </c>
      <c r="D18" s="48">
        <f>D17+'Página12'!D18</f>
        <v>452832.01</v>
      </c>
      <c r="E18" s="48">
        <f>E17+'Página12'!E18</f>
        <v>435128.12</v>
      </c>
      <c r="F18" s="48">
        <f>F17+'Página12'!F18</f>
        <v>413371.67</v>
      </c>
      <c r="G18" s="48">
        <f>G17+'Página12'!G18</f>
        <v>319533.13</v>
      </c>
      <c r="H18" s="48">
        <f>H17+'Página12'!H18</f>
        <v>296704.38</v>
      </c>
      <c r="I18" s="48">
        <f>I17+'Página12'!I18</f>
        <v>310352.68</v>
      </c>
      <c r="J18" s="48">
        <f>J17+'Página12'!J18</f>
        <v>296704.38</v>
      </c>
      <c r="K18" s="48">
        <f>K17+'Página12'!K18</f>
        <v>282666.06</v>
      </c>
    </row>
    <row r="19">
      <c r="A19" s="34">
        <v>42887.0</v>
      </c>
      <c r="B19" s="48">
        <f>B18+'Página12'!B19</f>
        <v>494596.78</v>
      </c>
      <c r="C19" s="48">
        <f>C18+'Página12'!C19</f>
        <v>460541.45</v>
      </c>
      <c r="D19" s="48">
        <f>D18+'Página12'!D19</f>
        <v>480475.08</v>
      </c>
      <c r="E19" s="48">
        <f>E18+'Página12'!E19</f>
        <v>460541.45</v>
      </c>
      <c r="F19" s="48">
        <f>F18+'Página12'!F19</f>
        <v>437514.33</v>
      </c>
      <c r="G19" s="48">
        <f>G18+'Página12'!G19</f>
        <v>338886.83</v>
      </c>
      <c r="H19" s="48">
        <f>H18+'Página12'!H19</f>
        <v>313971.69</v>
      </c>
      <c r="I19" s="48">
        <f>I18+'Página12'!I19</f>
        <v>329274.05</v>
      </c>
      <c r="J19" s="48">
        <f>J18+'Página12'!J19</f>
        <v>313971.69</v>
      </c>
      <c r="K19" s="48">
        <f>K18+'Página12'!K19</f>
        <v>299113.47</v>
      </c>
    </row>
    <row r="20">
      <c r="A20" s="34">
        <v>42917.0</v>
      </c>
      <c r="B20" s="48">
        <f>B19+'Página12'!B20</f>
        <v>522836.17</v>
      </c>
      <c r="C20" s="48">
        <f>C19+'Página12'!C20</f>
        <v>485954.78</v>
      </c>
      <c r="D20" s="48">
        <f>D19+'Página12'!D20</f>
        <v>508118.15</v>
      </c>
      <c r="E20" s="48">
        <f>E19+'Página12'!E20</f>
        <v>485954.78</v>
      </c>
      <c r="F20" s="48">
        <f>F19+'Página12'!F20</f>
        <v>461656.99</v>
      </c>
      <c r="G20" s="48">
        <f>G19+'Página12'!G20</f>
        <v>358240.53</v>
      </c>
      <c r="H20" s="48">
        <f>H19+'Página12'!H20</f>
        <v>331239</v>
      </c>
      <c r="I20" s="48">
        <f>I19+'Página12'!I20</f>
        <v>348195.42</v>
      </c>
      <c r="J20" s="48">
        <f>J19+'Página12'!J20</f>
        <v>331239</v>
      </c>
      <c r="K20" s="48">
        <f>K19+'Página12'!K20</f>
        <v>315560.88</v>
      </c>
    </row>
    <row r="21">
      <c r="A21" s="34">
        <v>42948.0</v>
      </c>
      <c r="B21" s="48">
        <f>B20+'Página12'!B21</f>
        <v>551075.56</v>
      </c>
      <c r="C21" s="48">
        <f>C20+'Página12'!C21</f>
        <v>511368.11</v>
      </c>
      <c r="D21" s="48">
        <f>D20+'Página12'!D21</f>
        <v>535761.22</v>
      </c>
      <c r="E21" s="48">
        <f>E20+'Página12'!E21</f>
        <v>511368.11</v>
      </c>
      <c r="F21" s="48">
        <f>F20+'Página12'!F21</f>
        <v>485799.65</v>
      </c>
      <c r="G21" s="48">
        <f>G20+'Página12'!G21</f>
        <v>377594.23</v>
      </c>
      <c r="H21" s="48">
        <f>H20+'Página12'!H21</f>
        <v>348506.31</v>
      </c>
      <c r="I21" s="48">
        <f>I20+'Página12'!I21</f>
        <v>367116.79</v>
      </c>
      <c r="J21" s="48">
        <f>J20+'Página12'!J21</f>
        <v>348506.31</v>
      </c>
      <c r="K21" s="48">
        <f>K20+'Página12'!K21</f>
        <v>332008.29</v>
      </c>
    </row>
    <row r="22">
      <c r="A22" s="34">
        <v>42979.0</v>
      </c>
      <c r="B22" s="48">
        <f>B21+'Página12'!B22</f>
        <v>579314.95</v>
      </c>
      <c r="C22" s="48">
        <f>C21+'Página12'!C22</f>
        <v>536781.44</v>
      </c>
      <c r="D22" s="48">
        <f>D21+'Página12'!D22</f>
        <v>563404.29</v>
      </c>
      <c r="E22" s="48">
        <f>E21+'Página12'!E22</f>
        <v>536781.44</v>
      </c>
      <c r="F22" s="48">
        <f>F21+'Página12'!F22</f>
        <v>509942.31</v>
      </c>
      <c r="G22" s="48">
        <f>G21+'Página12'!G22</f>
        <v>396947.93</v>
      </c>
      <c r="H22" s="48">
        <f>H21+'Página12'!H22</f>
        <v>365773.62</v>
      </c>
      <c r="I22" s="48">
        <f>I21+'Página12'!I22</f>
        <v>386038.16</v>
      </c>
      <c r="J22" s="48">
        <f>J21+'Página12'!J22</f>
        <v>365773.62</v>
      </c>
      <c r="K22" s="48">
        <f>K21+'Página12'!K22</f>
        <v>348455.7</v>
      </c>
    </row>
    <row r="23">
      <c r="A23" s="34">
        <v>43009.0</v>
      </c>
      <c r="B23" s="48">
        <f>B22+'Página12'!B23</f>
        <v>607554.34</v>
      </c>
      <c r="C23" s="48">
        <f>C22+'Página12'!C23</f>
        <v>562194.77</v>
      </c>
      <c r="D23" s="48">
        <f>D22+'Página12'!D23</f>
        <v>591047.36</v>
      </c>
      <c r="E23" s="48">
        <f>E22+'Página12'!E23</f>
        <v>562194.77</v>
      </c>
      <c r="F23" s="48">
        <f>F22+'Página12'!F23</f>
        <v>534084.97</v>
      </c>
      <c r="G23" s="48">
        <f>G22+'Página12'!G23</f>
        <v>416301.63</v>
      </c>
      <c r="H23" s="48">
        <f>H22+'Página12'!H23</f>
        <v>383040.93</v>
      </c>
      <c r="I23" s="48">
        <f>I22+'Página12'!I23</f>
        <v>404959.53</v>
      </c>
      <c r="J23" s="48">
        <f>J22+'Página12'!J23</f>
        <v>383040.93</v>
      </c>
      <c r="K23" s="48">
        <f>K22+'Página12'!K23</f>
        <v>364903.11</v>
      </c>
    </row>
    <row r="24">
      <c r="A24" s="34">
        <v>43040.0</v>
      </c>
      <c r="B24" s="48">
        <f>B23+'Página12'!B24</f>
        <v>635793.73</v>
      </c>
      <c r="C24" s="48">
        <f>C23+'Página12'!C24</f>
        <v>587608.1</v>
      </c>
      <c r="D24" s="48">
        <f>D23+'Página12'!D24</f>
        <v>618690.43</v>
      </c>
      <c r="E24" s="48">
        <f>E23+'Página12'!E24</f>
        <v>587608.1</v>
      </c>
      <c r="F24" s="48">
        <f>F23+'Página12'!F24</f>
        <v>558227.63</v>
      </c>
      <c r="G24" s="48">
        <f>G23+'Página12'!G24</f>
        <v>435655.33</v>
      </c>
      <c r="H24" s="48">
        <f>H23+'Página12'!H24</f>
        <v>400308.24</v>
      </c>
      <c r="I24" s="48">
        <f>I23+'Página12'!I24</f>
        <v>423880.9</v>
      </c>
      <c r="J24" s="48">
        <f>J23+'Página12'!J24</f>
        <v>400308.24</v>
      </c>
      <c r="K24" s="48">
        <f>K23+'Página12'!K24</f>
        <v>381350.52</v>
      </c>
    </row>
    <row r="25">
      <c r="A25" s="34">
        <v>43070.0</v>
      </c>
      <c r="B25" s="48">
        <f>B24+'Página12'!B25</f>
        <v>701676.23</v>
      </c>
      <c r="C25" s="48">
        <f>C24+'Página12'!C25</f>
        <v>646897.39</v>
      </c>
      <c r="D25" s="48">
        <f>D24+'Página12'!D25</f>
        <v>683181.71</v>
      </c>
      <c r="E25" s="48">
        <f>E24+'Página12'!E25</f>
        <v>646897.39</v>
      </c>
      <c r="F25" s="48">
        <f>F24+'Página12'!F25</f>
        <v>614552.46</v>
      </c>
      <c r="G25" s="48">
        <f>G24+'Página12'!G25</f>
        <v>480807.51</v>
      </c>
      <c r="H25" s="48">
        <f>H24+'Página12'!H25</f>
        <v>440592.86</v>
      </c>
      <c r="I25" s="48">
        <f>I24+'Página12'!I25</f>
        <v>468024.47</v>
      </c>
      <c r="J25" s="48">
        <f>J24+'Página12'!J25</f>
        <v>440592.86</v>
      </c>
      <c r="K25" s="48">
        <f>K24+'Página12'!K25</f>
        <v>419722.34</v>
      </c>
    </row>
    <row r="26">
      <c r="A26" s="34">
        <v>43101.0</v>
      </c>
      <c r="B26" s="48">
        <f>B25+'Página12'!B26</f>
        <v>733610.96</v>
      </c>
      <c r="C26" s="48">
        <f>C25+'Página12'!C26</f>
        <v>673998.03</v>
      </c>
      <c r="D26" s="48">
        <f>D25+'Página12'!D26</f>
        <v>712009.58</v>
      </c>
      <c r="E26" s="48">
        <f>E25+'Página12'!E26</f>
        <v>673998.03</v>
      </c>
      <c r="F26" s="48">
        <f>F25+'Página12'!F26</f>
        <v>640298.07</v>
      </c>
      <c r="G26" s="48">
        <f>G25+'Página12'!G26</f>
        <v>502745.85</v>
      </c>
      <c r="H26" s="48">
        <f>H25+'Página12'!H26</f>
        <v>458948.91</v>
      </c>
      <c r="I26" s="48">
        <f>I25+'Página12'!I26</f>
        <v>487710.34</v>
      </c>
      <c r="J26" s="48">
        <f>J25+'Página12'!J26</f>
        <v>458948.91</v>
      </c>
      <c r="K26" s="48">
        <f>K25+'Página12'!K26</f>
        <v>437204.05</v>
      </c>
    </row>
    <row r="27">
      <c r="A27" s="34">
        <v>43132.0</v>
      </c>
      <c r="B27" s="48">
        <f>B26+'Página12'!B27</f>
        <v>765545.69</v>
      </c>
      <c r="C27" s="48">
        <f>C26+'Página12'!C27</f>
        <v>701098.67</v>
      </c>
      <c r="D27" s="48">
        <f>D26+'Página12'!D27</f>
        <v>740837.45</v>
      </c>
      <c r="E27" s="48">
        <f>E26+'Página12'!E27</f>
        <v>701098.67</v>
      </c>
      <c r="F27" s="48">
        <f>F26+'Página12'!F27</f>
        <v>666043.68</v>
      </c>
      <c r="G27" s="48">
        <f>G26+'Página12'!G27</f>
        <v>524684.19</v>
      </c>
      <c r="H27" s="48">
        <f>H26+'Página12'!H27</f>
        <v>477304.96</v>
      </c>
      <c r="I27" s="48">
        <f>I26+'Página12'!I27</f>
        <v>507396.21</v>
      </c>
      <c r="J27" s="48">
        <f>J26+'Página12'!J27</f>
        <v>477304.96</v>
      </c>
      <c r="K27" s="48">
        <f>K26+'Página12'!K27</f>
        <v>454685.76</v>
      </c>
    </row>
    <row r="28">
      <c r="A28" s="34">
        <v>43160.0</v>
      </c>
      <c r="B28" s="48">
        <f>B27+'Página12'!B28</f>
        <v>797480.42</v>
      </c>
      <c r="C28" s="48">
        <f>C27+'Página12'!C28</f>
        <v>728199.31</v>
      </c>
      <c r="D28" s="48">
        <f>D27+'Página12'!D28</f>
        <v>769665.32</v>
      </c>
      <c r="E28" s="48">
        <f>E27+'Página12'!E28</f>
        <v>728199.31</v>
      </c>
      <c r="F28" s="48">
        <f>F27+'Página12'!F28</f>
        <v>691789.29</v>
      </c>
      <c r="G28" s="48">
        <f>G27+'Página12'!G28</f>
        <v>546622.53</v>
      </c>
      <c r="H28" s="48">
        <f>H27+'Página12'!H28</f>
        <v>495661.01</v>
      </c>
      <c r="I28" s="48">
        <f>I27+'Página12'!I28</f>
        <v>527082.08</v>
      </c>
      <c r="J28" s="48">
        <f>J27+'Página12'!J28</f>
        <v>495661.01</v>
      </c>
      <c r="K28" s="48">
        <f>K27+'Página12'!K28</f>
        <v>472167.47</v>
      </c>
    </row>
    <row r="29">
      <c r="A29" s="34">
        <v>43191.0</v>
      </c>
      <c r="B29" s="48">
        <f>B28+'Página12'!B29</f>
        <v>829415.15</v>
      </c>
      <c r="C29" s="48">
        <f>C28+'Página12'!C29</f>
        <v>755299.95</v>
      </c>
      <c r="D29" s="48">
        <f>D28+'Página12'!D29</f>
        <v>798493.19</v>
      </c>
      <c r="E29" s="48">
        <f>E28+'Página12'!E29</f>
        <v>755299.95</v>
      </c>
      <c r="F29" s="48">
        <f>F28+'Página12'!F29</f>
        <v>717534.9</v>
      </c>
      <c r="G29" s="48">
        <f>G28+'Página12'!G29</f>
        <v>568560.87</v>
      </c>
      <c r="H29" s="48">
        <f>H28+'Página12'!H29</f>
        <v>514017.06</v>
      </c>
      <c r="I29" s="48">
        <f>I28+'Página12'!I29</f>
        <v>546767.95</v>
      </c>
      <c r="J29" s="48">
        <f>J28+'Página12'!J29</f>
        <v>514017.06</v>
      </c>
      <c r="K29" s="48">
        <f>K28+'Página12'!K29</f>
        <v>489649.18</v>
      </c>
    </row>
    <row r="30">
      <c r="A30" s="34">
        <v>43221.0</v>
      </c>
      <c r="B30" s="48">
        <f>B29+'Página12'!B30</f>
        <v>861349.88</v>
      </c>
      <c r="C30" s="48">
        <f>C29+'Página12'!C30</f>
        <v>782400.59</v>
      </c>
      <c r="D30" s="48">
        <f>D29+'Página12'!D30</f>
        <v>827321.06</v>
      </c>
      <c r="E30" s="48">
        <f>E29+'Página12'!E30</f>
        <v>782400.59</v>
      </c>
      <c r="F30" s="48">
        <f>F29+'Página12'!F30</f>
        <v>743280.51</v>
      </c>
      <c r="G30" s="48">
        <f>G29+'Página12'!G30</f>
        <v>590499.21</v>
      </c>
      <c r="H30" s="48">
        <f>H29+'Página12'!H30</f>
        <v>532373.11</v>
      </c>
      <c r="I30" s="48">
        <f>I29+'Página12'!I30</f>
        <v>566453.82</v>
      </c>
      <c r="J30" s="48">
        <f>J29+'Página12'!J30</f>
        <v>532373.11</v>
      </c>
      <c r="K30" s="48">
        <f>K29+'Página12'!K30</f>
        <v>507130.89</v>
      </c>
    </row>
    <row r="31">
      <c r="A31" s="34">
        <v>43252.0</v>
      </c>
      <c r="B31" s="48">
        <f>B30+'Página12'!B31</f>
        <v>893284.61</v>
      </c>
      <c r="C31" s="48">
        <f>C30+'Página12'!C31</f>
        <v>809501.23</v>
      </c>
      <c r="D31" s="48">
        <f>D30+'Página12'!D31</f>
        <v>856148.93</v>
      </c>
      <c r="E31" s="48">
        <f>E30+'Página12'!E31</f>
        <v>809501.23</v>
      </c>
      <c r="F31" s="48">
        <f>F30+'Página12'!F31</f>
        <v>769026.12</v>
      </c>
      <c r="G31" s="48">
        <f>G30+'Página12'!G31</f>
        <v>612437.55</v>
      </c>
      <c r="H31" s="48">
        <f>H30+'Página12'!H31</f>
        <v>550729.16</v>
      </c>
      <c r="I31" s="48">
        <f>I30+'Página12'!I31</f>
        <v>586139.69</v>
      </c>
      <c r="J31" s="48">
        <f>J30+'Página12'!J31</f>
        <v>550729.16</v>
      </c>
      <c r="K31" s="48">
        <f>K30+'Página12'!K31</f>
        <v>524612.6</v>
      </c>
    </row>
    <row r="32">
      <c r="A32" s="34">
        <v>43282.0</v>
      </c>
      <c r="B32" s="48">
        <f>B31+'Página12'!B32</f>
        <v>925219.34</v>
      </c>
      <c r="C32" s="48">
        <f>C31+'Página12'!C32</f>
        <v>836601.87</v>
      </c>
      <c r="D32" s="48">
        <f>D31+'Página12'!D32</f>
        <v>884976.8</v>
      </c>
      <c r="E32" s="48">
        <f>E31+'Página12'!E32</f>
        <v>836601.87</v>
      </c>
      <c r="F32" s="48">
        <f>F31+'Página12'!F32</f>
        <v>794771.73</v>
      </c>
      <c r="G32" s="48">
        <f>G31+'Página12'!G32</f>
        <v>634375.89</v>
      </c>
      <c r="H32" s="48">
        <f>H31+'Página12'!H32</f>
        <v>569085.21</v>
      </c>
      <c r="I32" s="48">
        <f>I31+'Página12'!I32</f>
        <v>605825.56</v>
      </c>
      <c r="J32" s="48">
        <f>J31+'Página12'!J32</f>
        <v>569085.21</v>
      </c>
      <c r="K32" s="48">
        <f>K31+'Página12'!K32</f>
        <v>542094.31</v>
      </c>
    </row>
    <row r="33">
      <c r="A33" s="34">
        <v>43313.0</v>
      </c>
      <c r="B33" s="48">
        <f>B32+'Página12'!B33</f>
        <v>957154.07</v>
      </c>
      <c r="C33" s="48">
        <f>C32+'Página12'!C33</f>
        <v>863702.51</v>
      </c>
      <c r="D33" s="48">
        <f>D32+'Página12'!D33</f>
        <v>913804.67</v>
      </c>
      <c r="E33" s="48">
        <f>E32+'Página12'!E33</f>
        <v>863702.51</v>
      </c>
      <c r="F33" s="48">
        <f>F32+'Página12'!F33</f>
        <v>820517.34</v>
      </c>
      <c r="G33" s="48">
        <f>G32+'Página12'!G33</f>
        <v>656314.23</v>
      </c>
      <c r="H33" s="48">
        <f>H32+'Página12'!H33</f>
        <v>587441.26</v>
      </c>
      <c r="I33" s="48">
        <f>I32+'Página12'!I33</f>
        <v>625511.43</v>
      </c>
      <c r="J33" s="48">
        <f>J32+'Página12'!J33</f>
        <v>587441.26</v>
      </c>
      <c r="K33" s="48">
        <f>K32+'Página12'!K33</f>
        <v>559576.02</v>
      </c>
    </row>
    <row r="34">
      <c r="A34" s="34">
        <v>43344.0</v>
      </c>
      <c r="B34" s="48">
        <f>B33+'Página12'!B34</f>
        <v>989088.8</v>
      </c>
      <c r="C34" s="48">
        <f>C33+'Página12'!C34</f>
        <v>890803.15</v>
      </c>
      <c r="D34" s="48">
        <f>D33+'Página12'!D34</f>
        <v>942632.54</v>
      </c>
      <c r="E34" s="48">
        <f>E33+'Página12'!E34</f>
        <v>890803.15</v>
      </c>
      <c r="F34" s="48">
        <f>F33+'Página12'!F34</f>
        <v>846262.95</v>
      </c>
      <c r="G34" s="48">
        <f>G33+'Página12'!G34</f>
        <v>678252.57</v>
      </c>
      <c r="H34" s="48">
        <f>H33+'Página12'!H34</f>
        <v>605797.31</v>
      </c>
      <c r="I34" s="48">
        <f>I33+'Página12'!I34</f>
        <v>645197.3</v>
      </c>
      <c r="J34" s="48">
        <f>J33+'Página12'!J34</f>
        <v>605797.31</v>
      </c>
      <c r="K34" s="48">
        <f>K33+'Página12'!K34</f>
        <v>577057.73</v>
      </c>
    </row>
    <row r="35">
      <c r="A35" s="34">
        <v>43374.0</v>
      </c>
      <c r="B35" s="48">
        <f>B34+'Página12'!B35</f>
        <v>1021023.53</v>
      </c>
      <c r="C35" s="48">
        <f>C34+'Página12'!C35</f>
        <v>917903.79</v>
      </c>
      <c r="D35" s="48">
        <f>D34+'Página12'!D35</f>
        <v>971460.41</v>
      </c>
      <c r="E35" s="48">
        <f>E34+'Página12'!E35</f>
        <v>917903.79</v>
      </c>
      <c r="F35" s="48">
        <f>F34+'Página12'!F35</f>
        <v>872008.56</v>
      </c>
      <c r="G35" s="48">
        <f>G34+'Página12'!G35</f>
        <v>700190.91</v>
      </c>
      <c r="H35" s="48">
        <f>H34+'Página12'!H35</f>
        <v>624153.36</v>
      </c>
      <c r="I35" s="48">
        <f>I34+'Página12'!I35</f>
        <v>664883.17</v>
      </c>
      <c r="J35" s="48">
        <f>J34+'Página12'!J35</f>
        <v>624153.36</v>
      </c>
      <c r="K35" s="48">
        <f>K34+'Página12'!K35</f>
        <v>594539.44</v>
      </c>
    </row>
    <row r="36">
      <c r="A36" s="34">
        <v>43405.0</v>
      </c>
      <c r="B36" s="48">
        <f>B35+'Página12'!B36</f>
        <v>1052958.26</v>
      </c>
      <c r="C36" s="48">
        <f>C35+'Página12'!C36</f>
        <v>945004.43</v>
      </c>
      <c r="D36" s="48">
        <f>D35+'Página12'!D36</f>
        <v>1000288.28</v>
      </c>
      <c r="E36" s="48">
        <f>E35+'Página12'!E36</f>
        <v>945004.43</v>
      </c>
      <c r="F36" s="48">
        <f>F35+'Página12'!F36</f>
        <v>897754.17</v>
      </c>
      <c r="G36" s="48">
        <f>G35+'Página12'!G36</f>
        <v>722129.25</v>
      </c>
      <c r="H36" s="48">
        <f>H35+'Página12'!H36</f>
        <v>642509.41</v>
      </c>
      <c r="I36" s="48">
        <f>I35+'Página12'!I36</f>
        <v>684569.04</v>
      </c>
      <c r="J36" s="48">
        <f>J35+'Página12'!J36</f>
        <v>642509.41</v>
      </c>
      <c r="K36" s="48">
        <f>K35+'Página12'!K36</f>
        <v>612021.15</v>
      </c>
    </row>
    <row r="37">
      <c r="A37" s="34">
        <v>43435.0</v>
      </c>
      <c r="B37" s="48">
        <f>B36+'Página12'!B37</f>
        <v>1128682.54</v>
      </c>
      <c r="C37" s="48">
        <f>C36+'Página12'!C37</f>
        <v>1008230.23</v>
      </c>
      <c r="D37" s="48">
        <f>D36+'Página12'!D37</f>
        <v>1067543.7</v>
      </c>
      <c r="E37" s="48">
        <f>E36+'Página12'!E37</f>
        <v>1008230.23</v>
      </c>
      <c r="F37" s="48">
        <f>F36+'Página12'!F37</f>
        <v>957818.68</v>
      </c>
      <c r="G37" s="48">
        <f>G36+'Página12'!G37</f>
        <v>774196.29</v>
      </c>
      <c r="H37" s="48">
        <f>H36+'Página12'!H37</f>
        <v>685334.07</v>
      </c>
      <c r="I37" s="48">
        <f>I36+'Página12'!I37</f>
        <v>730496.16</v>
      </c>
      <c r="J37" s="48">
        <f>J36+'Página12'!J37</f>
        <v>685334.07</v>
      </c>
      <c r="K37" s="48">
        <f>K36+'Página12'!K37</f>
        <v>652805.99</v>
      </c>
    </row>
    <row r="38">
      <c r="A38" s="34">
        <v>43466.0</v>
      </c>
      <c r="B38" s="48">
        <f>B37+'Página12'!B38</f>
        <v>1162480.96</v>
      </c>
      <c r="C38" s="48">
        <f>C37+'Página12'!C38</f>
        <v>1037040.41</v>
      </c>
      <c r="D38" s="48">
        <f>D37+'Página12'!D38</f>
        <v>1097547.32</v>
      </c>
      <c r="E38" s="48">
        <f>E37+'Página12'!E38</f>
        <v>1037040.41</v>
      </c>
      <c r="F38" s="48">
        <f>F37+'Página12'!F38</f>
        <v>985188.35</v>
      </c>
      <c r="G38" s="48">
        <f>G37+'Página12'!G38</f>
        <v>797392.03</v>
      </c>
      <c r="H38" s="48">
        <f>H37+'Página12'!H38</f>
        <v>704793.2</v>
      </c>
      <c r="I38" s="48">
        <f>I37+'Página12'!I38</f>
        <v>750940.68</v>
      </c>
      <c r="J38" s="48">
        <f>J37+'Página12'!J38</f>
        <v>704793.2</v>
      </c>
      <c r="K38" s="48">
        <f>K37+'Página12'!K38</f>
        <v>671335.63</v>
      </c>
    </row>
    <row r="39">
      <c r="A39" s="34">
        <v>43497.0</v>
      </c>
      <c r="B39" s="48">
        <f>B38+'Página12'!B39</f>
        <v>1196279.38</v>
      </c>
      <c r="C39" s="48">
        <f>C38+'Página12'!C39</f>
        <v>1065850.59</v>
      </c>
      <c r="D39" s="48">
        <f>D38+'Página12'!D39</f>
        <v>1127550.94</v>
      </c>
      <c r="E39" s="48">
        <f>E38+'Página12'!E39</f>
        <v>1065850.59</v>
      </c>
      <c r="F39" s="48">
        <f>F38+'Página12'!F39</f>
        <v>1012558.02</v>
      </c>
      <c r="G39" s="48">
        <f>G38+'Página12'!G39</f>
        <v>820587.77</v>
      </c>
      <c r="H39" s="48">
        <f>H38+'Página12'!H39</f>
        <v>724252.33</v>
      </c>
      <c r="I39" s="48">
        <f>I38+'Página12'!I39</f>
        <v>771385.2</v>
      </c>
      <c r="J39" s="48">
        <f>J38+'Página12'!J39</f>
        <v>724252.33</v>
      </c>
      <c r="K39" s="48">
        <f>K38+'Página12'!K39</f>
        <v>689865.27</v>
      </c>
    </row>
    <row r="40">
      <c r="A40" s="34">
        <v>43525.0</v>
      </c>
      <c r="B40" s="48">
        <f>B39+'Página12'!B40</f>
        <v>1230077.8</v>
      </c>
      <c r="C40" s="48">
        <f>C39+'Página12'!C40</f>
        <v>1094660.77</v>
      </c>
      <c r="D40" s="48">
        <f>D39+'Página12'!D40</f>
        <v>1157554.56</v>
      </c>
      <c r="E40" s="48">
        <f>E39+'Página12'!E40</f>
        <v>1094660.77</v>
      </c>
      <c r="F40" s="48">
        <f>F39+'Página12'!F40</f>
        <v>1039927.69</v>
      </c>
      <c r="G40" s="48">
        <f>G39+'Página12'!G40</f>
        <v>843783.51</v>
      </c>
      <c r="H40" s="48">
        <f>H39+'Página12'!H40</f>
        <v>743711.46</v>
      </c>
      <c r="I40" s="48">
        <f>I39+'Página12'!I40</f>
        <v>791829.72</v>
      </c>
      <c r="J40" s="48">
        <f>J39+'Página12'!J40</f>
        <v>743711.46</v>
      </c>
      <c r="K40" s="48">
        <f>K39+'Página12'!K40</f>
        <v>708394.91</v>
      </c>
    </row>
    <row r="41">
      <c r="A41" s="34">
        <v>43556.0</v>
      </c>
      <c r="B41" s="48">
        <f>B40+'Página12'!B41</f>
        <v>1263876.22</v>
      </c>
      <c r="C41" s="48">
        <f>C40+'Página12'!C41</f>
        <v>1123470.95</v>
      </c>
      <c r="D41" s="48">
        <f>D40+'Página12'!D41</f>
        <v>1187558.18</v>
      </c>
      <c r="E41" s="48">
        <f>E40+'Página12'!E41</f>
        <v>1123470.95</v>
      </c>
      <c r="F41" s="48">
        <f>F40+'Página12'!F41</f>
        <v>1067297.36</v>
      </c>
      <c r="G41" s="48">
        <f>G40+'Página12'!G41</f>
        <v>866979.25</v>
      </c>
      <c r="H41" s="48">
        <f>H40+'Página12'!H41</f>
        <v>763170.59</v>
      </c>
      <c r="I41" s="48">
        <f>I40+'Página12'!I41</f>
        <v>812274.24</v>
      </c>
      <c r="J41" s="48">
        <f>J40+'Página12'!J41</f>
        <v>763170.59</v>
      </c>
      <c r="K41" s="48">
        <f>K40+'Página12'!K41</f>
        <v>726924.55</v>
      </c>
    </row>
    <row r="42">
      <c r="A42" s="34">
        <v>43586.0</v>
      </c>
      <c r="B42" s="48">
        <f>B41+'Página12'!B42</f>
        <v>1297674.64</v>
      </c>
      <c r="C42" s="48">
        <f>C41+'Página12'!C42</f>
        <v>1152281.13</v>
      </c>
      <c r="D42" s="48">
        <f>D41+'Página12'!D42</f>
        <v>1217561.8</v>
      </c>
      <c r="E42" s="48">
        <f>E41+'Página12'!E42</f>
        <v>1152281.13</v>
      </c>
      <c r="F42" s="48">
        <f>F41+'Página12'!F42</f>
        <v>1094667.03</v>
      </c>
      <c r="G42" s="48">
        <f>G41+'Página12'!G42</f>
        <v>890174.99</v>
      </c>
      <c r="H42" s="48">
        <f>H41+'Página12'!H42</f>
        <v>782629.72</v>
      </c>
      <c r="I42" s="48">
        <f>I41+'Página12'!I42</f>
        <v>832718.76</v>
      </c>
      <c r="J42" s="48">
        <f>J41+'Página12'!J42</f>
        <v>782629.72</v>
      </c>
      <c r="K42" s="48">
        <f>K41+'Página12'!K42</f>
        <v>745454.19</v>
      </c>
    </row>
    <row r="43">
      <c r="A43" s="34">
        <v>43617.0</v>
      </c>
      <c r="B43" s="48">
        <f>B42+'Página12'!B43</f>
        <v>1331473.06</v>
      </c>
      <c r="C43" s="48">
        <f>C42+'Página12'!C43</f>
        <v>1181091.31</v>
      </c>
      <c r="D43" s="48">
        <f>D42+'Página12'!D43</f>
        <v>1247565.42</v>
      </c>
      <c r="E43" s="48">
        <f>E42+'Página12'!E43</f>
        <v>1181091.31</v>
      </c>
      <c r="F43" s="48">
        <f>F42+'Página12'!F43</f>
        <v>1122036.7</v>
      </c>
      <c r="G43" s="48">
        <f>G42+'Página12'!G43</f>
        <v>913370.73</v>
      </c>
      <c r="H43" s="48">
        <f>H42+'Página12'!H43</f>
        <v>802088.85</v>
      </c>
      <c r="I43" s="48">
        <f>I42+'Página12'!I43</f>
        <v>853163.28</v>
      </c>
      <c r="J43" s="48">
        <f>J42+'Página12'!J43</f>
        <v>802088.85</v>
      </c>
      <c r="K43" s="48">
        <f>K42+'Página12'!K43</f>
        <v>763983.83</v>
      </c>
    </row>
    <row r="44">
      <c r="A44" s="34">
        <v>43647.0</v>
      </c>
      <c r="B44" s="48">
        <f>B43+'Página12'!B44</f>
        <v>1365271.48</v>
      </c>
      <c r="C44" s="48">
        <f>C43+'Página12'!C44</f>
        <v>1209901.49</v>
      </c>
      <c r="D44" s="48">
        <f>D43+'Página12'!D44</f>
        <v>1277569.04</v>
      </c>
      <c r="E44" s="48">
        <f>E43+'Página12'!E44</f>
        <v>1209901.49</v>
      </c>
      <c r="F44" s="48">
        <f>F43+'Página12'!F44</f>
        <v>1149406.37</v>
      </c>
      <c r="G44" s="48">
        <f>G43+'Página12'!G44</f>
        <v>936566.47</v>
      </c>
      <c r="H44" s="48">
        <f>H43+'Página12'!H44</f>
        <v>821547.98</v>
      </c>
      <c r="I44" s="48">
        <f>I43+'Página12'!I44</f>
        <v>873607.8</v>
      </c>
      <c r="J44" s="48">
        <f>J43+'Página12'!J44</f>
        <v>821547.98</v>
      </c>
      <c r="K44" s="48">
        <f>K43+'Página12'!K44</f>
        <v>782513.47</v>
      </c>
    </row>
    <row r="45">
      <c r="A45" s="34">
        <v>43678.0</v>
      </c>
      <c r="B45" s="48">
        <f>B44+'Página12'!B45</f>
        <v>1399069.9</v>
      </c>
      <c r="C45" s="48">
        <f>C44+'Página12'!C45</f>
        <v>1238711.67</v>
      </c>
      <c r="D45" s="48">
        <f>D44+'Página12'!D45</f>
        <v>1307572.66</v>
      </c>
      <c r="E45" s="48">
        <f>E44+'Página12'!E45</f>
        <v>1238711.67</v>
      </c>
      <c r="F45" s="48">
        <f>F44+'Página12'!F45</f>
        <v>1176776.04</v>
      </c>
      <c r="G45" s="48">
        <f>G44+'Página12'!G45</f>
        <v>959762.21</v>
      </c>
      <c r="H45" s="48">
        <f>H44+'Página12'!H45</f>
        <v>841007.11</v>
      </c>
      <c r="I45" s="48">
        <f>I44+'Página12'!I45</f>
        <v>894052.32</v>
      </c>
      <c r="J45" s="48">
        <f>J44+'Página12'!J45</f>
        <v>841007.11</v>
      </c>
      <c r="K45" s="48">
        <f>K44+'Página12'!K45</f>
        <v>801043.11</v>
      </c>
    </row>
    <row r="46">
      <c r="A46" s="34">
        <v>43709.0</v>
      </c>
      <c r="B46" s="48">
        <f>B45+'Página12'!B46</f>
        <v>1432868.32</v>
      </c>
      <c r="C46" s="48">
        <f>C45+'Página12'!C46</f>
        <v>1267521.85</v>
      </c>
      <c r="D46" s="48">
        <f>D45+'Página12'!D46</f>
        <v>1337576.28</v>
      </c>
      <c r="E46" s="48">
        <f>E45+'Página12'!E46</f>
        <v>1267521.85</v>
      </c>
      <c r="F46" s="48">
        <f>F45+'Página12'!F46</f>
        <v>1204145.71</v>
      </c>
      <c r="G46" s="48">
        <f>G45+'Página12'!G46</f>
        <v>982957.95</v>
      </c>
      <c r="H46" s="48">
        <f>H45+'Página12'!H46</f>
        <v>860466.24</v>
      </c>
      <c r="I46" s="48">
        <f>I45+'Página12'!I46</f>
        <v>914496.84</v>
      </c>
      <c r="J46" s="48">
        <f>J45+'Página12'!J46</f>
        <v>860466.24</v>
      </c>
      <c r="K46" s="48">
        <f>K45+'Página12'!K46</f>
        <v>819572.75</v>
      </c>
    </row>
    <row r="47">
      <c r="A47" s="34">
        <v>43739.0</v>
      </c>
      <c r="B47" s="48">
        <f>B46+'Página12'!B47</f>
        <v>1466666.74</v>
      </c>
      <c r="C47" s="48">
        <f>C46+'Página12'!C47</f>
        <v>1296332.03</v>
      </c>
      <c r="D47" s="48">
        <f>D46+'Página12'!D47</f>
        <v>1367579.9</v>
      </c>
      <c r="E47" s="48">
        <f>E46+'Página12'!E47</f>
        <v>1296332.03</v>
      </c>
      <c r="F47" s="48">
        <f>F46+'Página12'!F47</f>
        <v>1231515.38</v>
      </c>
      <c r="G47" s="48">
        <f>G46+'Página12'!G47</f>
        <v>1006153.69</v>
      </c>
      <c r="H47" s="48">
        <f>H46+'Página12'!H47</f>
        <v>879925.37</v>
      </c>
      <c r="I47" s="48">
        <f>I46+'Página12'!I47</f>
        <v>934941.36</v>
      </c>
      <c r="J47" s="48">
        <f>J46+'Página12'!J47</f>
        <v>879925.37</v>
      </c>
      <c r="K47" s="48">
        <f>K46+'Página12'!K47</f>
        <v>838102.39</v>
      </c>
    </row>
    <row r="48">
      <c r="A48" s="34">
        <v>43770.0</v>
      </c>
      <c r="B48" s="48">
        <f>B47+'Página12'!B48</f>
        <v>1500465.16</v>
      </c>
      <c r="C48" s="48">
        <f>C47+'Página12'!C48</f>
        <v>1325142.21</v>
      </c>
      <c r="D48" s="48">
        <f>D47+'Página12'!D48</f>
        <v>1397583.52</v>
      </c>
      <c r="E48" s="48">
        <f>E47+'Página12'!E48</f>
        <v>1325142.21</v>
      </c>
      <c r="F48" s="48">
        <f>F47+'Página12'!F48</f>
        <v>1258885.05</v>
      </c>
      <c r="G48" s="48">
        <f>G47+'Página12'!G48</f>
        <v>1029349.43</v>
      </c>
      <c r="H48" s="48">
        <f>H47+'Página12'!H48</f>
        <v>899384.5</v>
      </c>
      <c r="I48" s="48">
        <f>I47+'Página12'!I48</f>
        <v>955385.88</v>
      </c>
      <c r="J48" s="48">
        <f>J47+'Página12'!J48</f>
        <v>899384.5</v>
      </c>
      <c r="K48" s="48">
        <f>K47+'Página12'!K48</f>
        <v>856632.03</v>
      </c>
    </row>
    <row r="49">
      <c r="A49" s="34">
        <v>43800.0</v>
      </c>
      <c r="B49" s="48">
        <f>B48+'Página12'!B49</f>
        <v>1579316.87</v>
      </c>
      <c r="C49" s="48">
        <f>C48+'Página12'!C49</f>
        <v>1392356.36</v>
      </c>
      <c r="D49" s="48">
        <f>D48+'Página12'!D49</f>
        <v>1467581.97</v>
      </c>
      <c r="E49" s="48">
        <f>E48+'Página12'!E49</f>
        <v>1392356.36</v>
      </c>
      <c r="F49" s="48">
        <f>F48+'Página12'!F49</f>
        <v>1322738.49</v>
      </c>
      <c r="G49" s="48">
        <f>G48+'Página12'!G49</f>
        <v>1083465.09</v>
      </c>
      <c r="H49" s="48">
        <f>H48+'Página12'!H49</f>
        <v>944782.65</v>
      </c>
      <c r="I49" s="48">
        <f>I48+'Página12'!I49</f>
        <v>1003082.94</v>
      </c>
      <c r="J49" s="48">
        <f>J48+'Página12'!J49</f>
        <v>944782.65</v>
      </c>
      <c r="K49" s="48">
        <f>K48+'Página12'!K49</f>
        <v>899861.69</v>
      </c>
    </row>
    <row r="50">
      <c r="A50" s="34">
        <v>43831.0</v>
      </c>
      <c r="B50" s="48">
        <f>B49+'Página12'!B50</f>
        <v>1613685.57</v>
      </c>
      <c r="C50" s="48">
        <f>C49+'Página12'!C50</f>
        <v>1421166.54</v>
      </c>
      <c r="D50" s="48">
        <f>D49+'Página12'!D50</f>
        <v>1497585.59</v>
      </c>
      <c r="E50" s="48">
        <f>E49+'Página12'!E50</f>
        <v>1421166.54</v>
      </c>
      <c r="F50" s="48">
        <f>F49+'Página12'!F50</f>
        <v>1350108.16</v>
      </c>
      <c r="G50" s="48">
        <f>G49+'Página12'!G50</f>
        <v>1107074.29</v>
      </c>
      <c r="H50" s="48">
        <f>H49+'Página12'!H50</f>
        <v>964241.78</v>
      </c>
      <c r="I50" s="48">
        <f>I49+'Página12'!I50</f>
        <v>1023527.46</v>
      </c>
      <c r="J50" s="48">
        <f>J49+'Página12'!J50</f>
        <v>964241.78</v>
      </c>
      <c r="K50" s="48">
        <f>K49+'Página12'!K50</f>
        <v>918391.33</v>
      </c>
    </row>
    <row r="51">
      <c r="A51" s="34">
        <v>43862.0</v>
      </c>
      <c r="B51" s="48">
        <f>B50+'Página12'!B51</f>
        <v>1648054.27</v>
      </c>
      <c r="C51" s="48">
        <f>C50+'Página12'!C51</f>
        <v>1449976.72</v>
      </c>
      <c r="D51" s="48">
        <f>D50+'Página12'!D51</f>
        <v>1527589.21</v>
      </c>
      <c r="E51" s="48">
        <f>E50+'Página12'!E51</f>
        <v>1449976.72</v>
      </c>
      <c r="F51" s="48">
        <f>F50+'Página12'!F51</f>
        <v>1377477.83</v>
      </c>
      <c r="G51" s="48">
        <f>G50+'Página12'!G51</f>
        <v>1130683.49</v>
      </c>
      <c r="H51" s="48">
        <f>H50+'Página12'!H51</f>
        <v>983700.91</v>
      </c>
      <c r="I51" s="48">
        <f>I50+'Página12'!I51</f>
        <v>1043971.98</v>
      </c>
      <c r="J51" s="48">
        <f>J50+'Página12'!J51</f>
        <v>983700.91</v>
      </c>
      <c r="K51" s="48">
        <f>K50+'Página12'!K51</f>
        <v>936920.97</v>
      </c>
    </row>
    <row r="52">
      <c r="A52" s="34">
        <v>43891.0</v>
      </c>
      <c r="B52" s="48">
        <f>B51+'Página12'!B52</f>
        <v>1682684.6</v>
      </c>
      <c r="C52" s="48">
        <f>C51+'Página12'!C52</f>
        <v>1478786.9</v>
      </c>
      <c r="D52" s="48">
        <f>D51+'Página12'!D52</f>
        <v>1557592.83</v>
      </c>
      <c r="E52" s="48">
        <f>E51+'Página12'!E52</f>
        <v>1478786.9</v>
      </c>
      <c r="F52" s="48">
        <f>F51+'Página12'!F52</f>
        <v>1404847.5</v>
      </c>
      <c r="G52" s="48">
        <f>G51+'Página12'!G52</f>
        <v>1153553.39</v>
      </c>
      <c r="H52" s="48">
        <f>H51+'Página12'!H52</f>
        <v>1002143.68</v>
      </c>
      <c r="I52" s="48">
        <f>I51+'Página12'!I52</f>
        <v>1063487.52</v>
      </c>
      <c r="J52" s="48">
        <f>J51+'Página12'!J52</f>
        <v>1002143.68</v>
      </c>
      <c r="K52" s="48">
        <f>K51+'Página12'!K52</f>
        <v>954517.8</v>
      </c>
    </row>
    <row r="53">
      <c r="A53" s="34">
        <v>43922.0</v>
      </c>
      <c r="B53" s="48">
        <f>B52+'Página12'!B53</f>
        <v>1717314.93</v>
      </c>
      <c r="C53" s="48">
        <f>C52+'Página12'!C53</f>
        <v>1507597.08</v>
      </c>
      <c r="D53" s="48">
        <f>D52+'Página12'!D53</f>
        <v>1587596.45</v>
      </c>
      <c r="E53" s="48">
        <f>E52+'Página12'!E53</f>
        <v>1507597.08</v>
      </c>
      <c r="F53" s="48">
        <f>F52+'Página12'!F53</f>
        <v>1432217.17</v>
      </c>
      <c r="G53" s="48">
        <f>G52+'Página12'!G53</f>
        <v>1176423.29</v>
      </c>
      <c r="H53" s="48">
        <f>H52+'Página12'!H53</f>
        <v>1020586.45</v>
      </c>
      <c r="I53" s="48">
        <f>I52+'Página12'!I53</f>
        <v>1083003.06</v>
      </c>
      <c r="J53" s="48">
        <f>J52+'Página12'!J53</f>
        <v>1020586.45</v>
      </c>
      <c r="K53" s="48">
        <f>K52+'Página12'!K53</f>
        <v>972114.63</v>
      </c>
    </row>
    <row r="54">
      <c r="A54" s="34">
        <v>43952.0</v>
      </c>
      <c r="B54" s="48">
        <f>B53+'Página12'!B54</f>
        <v>1751945.26</v>
      </c>
      <c r="C54" s="48">
        <f>C53+'Página12'!C54</f>
        <v>1536407.26</v>
      </c>
      <c r="D54" s="48">
        <f>D53+'Página12'!D54</f>
        <v>1617600.07</v>
      </c>
      <c r="E54" s="48">
        <f>E53+'Página12'!E54</f>
        <v>1536407.26</v>
      </c>
      <c r="F54" s="48">
        <f>F53+'Página12'!F54</f>
        <v>1459586.84</v>
      </c>
      <c r="G54" s="48">
        <f>G53+'Página12'!G54</f>
        <v>1199293.19</v>
      </c>
      <c r="H54" s="48">
        <f>H53+'Página12'!H54</f>
        <v>1039029.22</v>
      </c>
      <c r="I54" s="48">
        <f>I53+'Página12'!I54</f>
        <v>1102518.6</v>
      </c>
      <c r="J54" s="48">
        <f>J53+'Página12'!J54</f>
        <v>1039029.22</v>
      </c>
      <c r="K54" s="48">
        <f>K53+'Página12'!K54</f>
        <v>989711.46</v>
      </c>
    </row>
    <row r="55">
      <c r="A55" s="34">
        <v>43983.0</v>
      </c>
      <c r="B55" s="48">
        <f>B54+'Página12'!B55</f>
        <v>1786575.59</v>
      </c>
      <c r="C55" s="48">
        <f>C54+'Página12'!C55</f>
        <v>1565217.44</v>
      </c>
      <c r="D55" s="48">
        <f>D54+'Página12'!D55</f>
        <v>1647603.69</v>
      </c>
      <c r="E55" s="48">
        <f>E54+'Página12'!E55</f>
        <v>1565217.44</v>
      </c>
      <c r="F55" s="48">
        <f>F54+'Página12'!F55</f>
        <v>1486956.51</v>
      </c>
      <c r="G55" s="48">
        <f>G54+'Página12'!G55</f>
        <v>1222163.09</v>
      </c>
      <c r="H55" s="48">
        <f>H54+'Página12'!H55</f>
        <v>1057471.99</v>
      </c>
      <c r="I55" s="48">
        <f>I54+'Página12'!I55</f>
        <v>1122034.14</v>
      </c>
      <c r="J55" s="48">
        <f>J54+'Página12'!J55</f>
        <v>1057471.99</v>
      </c>
      <c r="K55" s="48">
        <f>K54+'Página12'!K55</f>
        <v>1007308.29</v>
      </c>
    </row>
    <row r="56">
      <c r="A56" s="34">
        <v>44013.0</v>
      </c>
      <c r="B56" s="48">
        <f>B55+'Página12'!B56</f>
        <v>1821205.92</v>
      </c>
      <c r="C56" s="48">
        <f>C55+'Página12'!C56</f>
        <v>1594027.62</v>
      </c>
      <c r="D56" s="48">
        <f>D55+'Página12'!D56</f>
        <v>1677607.31</v>
      </c>
      <c r="E56" s="48">
        <f>E55+'Página12'!E56</f>
        <v>1594027.62</v>
      </c>
      <c r="F56" s="48">
        <f>F55+'Página12'!F56</f>
        <v>1514326.18</v>
      </c>
      <c r="G56" s="48">
        <f>G55+'Página12'!G56</f>
        <v>1245032.99</v>
      </c>
      <c r="H56" s="48">
        <f>H55+'Página12'!H56</f>
        <v>1075914.76</v>
      </c>
      <c r="I56" s="48">
        <f>I55+'Página12'!I56</f>
        <v>1141549.68</v>
      </c>
      <c r="J56" s="48">
        <f>J55+'Página12'!J56</f>
        <v>1075914.76</v>
      </c>
      <c r="K56" s="48">
        <f>K55+'Página12'!K56</f>
        <v>1024905.12</v>
      </c>
    </row>
    <row r="57">
      <c r="A57" s="34">
        <v>44044.0</v>
      </c>
      <c r="B57" s="48">
        <f>B56+'Página12'!B57</f>
        <v>1855836.25</v>
      </c>
      <c r="C57" s="48">
        <f>C56+'Página12'!C57</f>
        <v>1622837.8</v>
      </c>
      <c r="D57" s="48">
        <f>D56+'Página12'!D57</f>
        <v>1707610.93</v>
      </c>
      <c r="E57" s="48">
        <f>E56+'Página12'!E57</f>
        <v>1622837.8</v>
      </c>
      <c r="F57" s="48">
        <f>F56+'Página12'!F57</f>
        <v>1541695.85</v>
      </c>
      <c r="G57" s="48">
        <f>G56+'Página12'!G57</f>
        <v>1267902.89</v>
      </c>
      <c r="H57" s="48">
        <f>H56+'Página12'!H57</f>
        <v>1094357.53</v>
      </c>
      <c r="I57" s="48">
        <f>I56+'Página12'!I57</f>
        <v>1161065.22</v>
      </c>
      <c r="J57" s="48">
        <f>J56+'Página12'!J57</f>
        <v>1094357.53</v>
      </c>
      <c r="K57" s="48">
        <f>K56+'Página12'!K57</f>
        <v>1042501.95</v>
      </c>
    </row>
    <row r="58">
      <c r="A58" s="34">
        <v>44075.0</v>
      </c>
      <c r="B58" s="48">
        <f>B57+'Página12'!B58</f>
        <v>1890466.58</v>
      </c>
      <c r="C58" s="48">
        <f>C57+'Página12'!C58</f>
        <v>1651647.98</v>
      </c>
      <c r="D58" s="48">
        <f>D57+'Página12'!D58</f>
        <v>1737614.55</v>
      </c>
      <c r="E58" s="48">
        <f>E57+'Página12'!E58</f>
        <v>1651647.98</v>
      </c>
      <c r="F58" s="48">
        <f>F57+'Página12'!F58</f>
        <v>1569065.52</v>
      </c>
      <c r="G58" s="48">
        <f>G57+'Página12'!G58</f>
        <v>1290772.79</v>
      </c>
      <c r="H58" s="48">
        <f>H57+'Página12'!H58</f>
        <v>1112800.3</v>
      </c>
      <c r="I58" s="48">
        <f>I57+'Página12'!I58</f>
        <v>1180580.76</v>
      </c>
      <c r="J58" s="48">
        <f>J57+'Página12'!J58</f>
        <v>1112800.3</v>
      </c>
      <c r="K58" s="48">
        <f>K57+'Página12'!K58</f>
        <v>1060098.78</v>
      </c>
    </row>
    <row r="59">
      <c r="A59" s="34">
        <v>44105.0</v>
      </c>
      <c r="B59" s="48">
        <f>B58+'Página12'!B59</f>
        <v>1925096.91</v>
      </c>
      <c r="C59" s="48">
        <f>C58+'Página12'!C59</f>
        <v>1680458.16</v>
      </c>
      <c r="D59" s="48">
        <f>D58+'Página12'!D59</f>
        <v>1767618.17</v>
      </c>
      <c r="E59" s="48">
        <f>E58+'Página12'!E59</f>
        <v>1680458.16</v>
      </c>
      <c r="F59" s="48">
        <f>F58+'Página12'!F59</f>
        <v>1596435.19</v>
      </c>
      <c r="G59" s="48">
        <f>G58+'Página12'!G59</f>
        <v>1313642.69</v>
      </c>
      <c r="H59" s="48">
        <f>H58+'Página12'!H59</f>
        <v>1131243.07</v>
      </c>
      <c r="I59" s="48">
        <f>I58+'Página12'!I59</f>
        <v>1200096.3</v>
      </c>
      <c r="J59" s="48">
        <f>J58+'Página12'!J59</f>
        <v>1131243.07</v>
      </c>
      <c r="K59" s="48">
        <f>K58+'Página12'!K59</f>
        <v>1077695.61</v>
      </c>
    </row>
    <row r="60">
      <c r="A60" s="34">
        <v>44136.0</v>
      </c>
      <c r="B60" s="48">
        <f>B59+'Página12'!B60</f>
        <v>1959727.24</v>
      </c>
      <c r="C60" s="48">
        <f>C59+'Página12'!C60</f>
        <v>1709268.34</v>
      </c>
      <c r="D60" s="48">
        <f>D59+'Página12'!D60</f>
        <v>1797621.79</v>
      </c>
      <c r="E60" s="48">
        <f>E59+'Página12'!E60</f>
        <v>1709268.34</v>
      </c>
      <c r="F60" s="48">
        <f>F59+'Página12'!F60</f>
        <v>1623804.86</v>
      </c>
      <c r="G60" s="48">
        <f>G59+'Página12'!G60</f>
        <v>1336512.59</v>
      </c>
      <c r="H60" s="48">
        <f>H59+'Página12'!H60</f>
        <v>1149685.84</v>
      </c>
      <c r="I60" s="48">
        <f>I59+'Página12'!I60</f>
        <v>1219611.84</v>
      </c>
      <c r="J60" s="48">
        <f>J59+'Página12'!J60</f>
        <v>1149685.84</v>
      </c>
      <c r="K60" s="48">
        <f>K59+'Página12'!K60</f>
        <v>1095292.44</v>
      </c>
    </row>
    <row r="61">
      <c r="A61" s="34">
        <v>44166.0</v>
      </c>
      <c r="B61" s="48">
        <f>B60+'Página12'!B61</f>
        <v>2040519.8</v>
      </c>
      <c r="C61" s="48">
        <f>C60+'Página12'!C61</f>
        <v>1776482.49</v>
      </c>
      <c r="D61" s="48">
        <f>D60+'Página12'!D61</f>
        <v>1867620.24</v>
      </c>
      <c r="E61" s="48">
        <f>E60+'Página12'!E61</f>
        <v>1776482.49</v>
      </c>
      <c r="F61" s="48">
        <f>F60+'Página12'!F61</f>
        <v>1687658.3</v>
      </c>
      <c r="G61" s="48">
        <f>G60+'Página12'!G61</f>
        <v>1389868.07</v>
      </c>
      <c r="H61" s="48">
        <f>H60+'Página12'!H61</f>
        <v>1192712.83</v>
      </c>
      <c r="I61" s="48">
        <f>I60+'Página12'!I61</f>
        <v>1265141.6</v>
      </c>
      <c r="J61" s="48">
        <f>J60+'Página12'!J61</f>
        <v>1192712.83</v>
      </c>
      <c r="K61" s="48">
        <f>K60+'Página12'!K61</f>
        <v>1136345.84</v>
      </c>
    </row>
    <row r="62">
      <c r="A62" s="34">
        <v>44197.0</v>
      </c>
      <c r="B62" s="48">
        <f>B61+'Página12'!B62</f>
        <v>2076458.28</v>
      </c>
      <c r="C62" s="48">
        <f>C61+'Página12'!C62</f>
        <v>1805292.67</v>
      </c>
      <c r="D62" s="48">
        <f>D61+'Página12'!D62</f>
        <v>1897623.86</v>
      </c>
      <c r="E62" s="48">
        <f>E61+'Página12'!E62</f>
        <v>1805292.67</v>
      </c>
      <c r="F62" s="48">
        <f>F61+'Página12'!F62</f>
        <v>1715027.97</v>
      </c>
      <c r="G62" s="48">
        <f>G61+'Página12'!G62</f>
        <v>1413722.02</v>
      </c>
      <c r="H62" s="48">
        <f>H61+'Página12'!H62</f>
        <v>1211191.24</v>
      </c>
      <c r="I62" s="48">
        <f>I61+'Página12'!I62</f>
        <v>1284692.78</v>
      </c>
      <c r="J62" s="48">
        <f>J61+'Página12'!J62</f>
        <v>1211191.24</v>
      </c>
      <c r="K62" s="48">
        <f>K61+'Página12'!K62</f>
        <v>1153978.31</v>
      </c>
    </row>
    <row r="63">
      <c r="A63" s="34">
        <v>44228.0</v>
      </c>
      <c r="B63" s="48">
        <f>B62+'Página12'!B63</f>
        <v>2112396.76</v>
      </c>
      <c r="C63" s="48">
        <f>C62+'Página12'!C63</f>
        <v>1834102.85</v>
      </c>
      <c r="D63" s="48">
        <f>D62+'Página12'!D63</f>
        <v>1927627.48</v>
      </c>
      <c r="E63" s="48">
        <f>E62+'Página12'!E63</f>
        <v>1834102.85</v>
      </c>
      <c r="F63" s="48">
        <f>F62+'Página12'!F63</f>
        <v>1742397.64</v>
      </c>
      <c r="G63" s="48">
        <f>G62+'Página12'!G63</f>
        <v>1437575.97</v>
      </c>
      <c r="H63" s="48">
        <f>H62+'Página12'!H63</f>
        <v>1229669.65</v>
      </c>
      <c r="I63" s="48">
        <f>I62+'Página12'!I63</f>
        <v>1304243.96</v>
      </c>
      <c r="J63" s="48">
        <f>J62+'Página12'!J63</f>
        <v>1229669.65</v>
      </c>
      <c r="K63" s="48">
        <f>K62+'Página12'!K63</f>
        <v>1171610.78</v>
      </c>
    </row>
    <row r="64">
      <c r="A64" s="34">
        <v>44256.0</v>
      </c>
      <c r="B64" s="48">
        <f>B63+'Página12'!B64</f>
        <v>2148335.24</v>
      </c>
      <c r="C64" s="48">
        <f>C63+'Página12'!C64</f>
        <v>1862913.03</v>
      </c>
      <c r="D64" s="48">
        <f>D63+'Página12'!D64</f>
        <v>1957631.1</v>
      </c>
      <c r="E64" s="48">
        <f>E63+'Página12'!E64</f>
        <v>1862913.03</v>
      </c>
      <c r="F64" s="48">
        <f>F63+'Página12'!F64</f>
        <v>1769767.31</v>
      </c>
      <c r="G64" s="48">
        <f>G63+'Página12'!G64</f>
        <v>1461429.92</v>
      </c>
      <c r="H64" s="48">
        <f>H63+'Página12'!H64</f>
        <v>1248148.06</v>
      </c>
      <c r="I64" s="48">
        <f>I63+'Página12'!I64</f>
        <v>1323795.14</v>
      </c>
      <c r="J64" s="48">
        <f>J63+'Página12'!J64</f>
        <v>1248148.06</v>
      </c>
      <c r="K64" s="48">
        <f>K63+'Página12'!K64</f>
        <v>1189243.25</v>
      </c>
    </row>
    <row r="65">
      <c r="A65" s="34">
        <v>44287.0</v>
      </c>
      <c r="B65" s="48">
        <f>B64+'Página12'!B65</f>
        <v>2184273.72</v>
      </c>
      <c r="C65" s="48">
        <f>C64+'Página12'!C65</f>
        <v>1891723.21</v>
      </c>
      <c r="D65" s="48">
        <f>D64+'Página12'!D65</f>
        <v>1987634.72</v>
      </c>
      <c r="E65" s="48">
        <f>E64+'Página12'!E65</f>
        <v>1891723.21</v>
      </c>
      <c r="F65" s="48">
        <f>F64+'Página12'!F65</f>
        <v>1797136.98</v>
      </c>
      <c r="G65" s="48">
        <f>G64+'Página12'!G65</f>
        <v>1485283.87</v>
      </c>
      <c r="H65" s="48">
        <f>H64+'Página12'!H65</f>
        <v>1266626.47</v>
      </c>
      <c r="I65" s="48">
        <f>I64+'Página12'!I65</f>
        <v>1343346.32</v>
      </c>
      <c r="J65" s="48">
        <f>J64+'Página12'!J65</f>
        <v>1266626.47</v>
      </c>
      <c r="K65" s="48">
        <f>K64+'Página12'!K65</f>
        <v>1206875.72</v>
      </c>
    </row>
    <row r="66">
      <c r="A66" s="34">
        <v>44317.0</v>
      </c>
      <c r="B66" s="48">
        <f>B65+'Página12'!B66</f>
        <v>2220212.2</v>
      </c>
      <c r="C66" s="48">
        <f>C65+'Página12'!C66</f>
        <v>1920533.39</v>
      </c>
      <c r="D66" s="48">
        <f>D65+'Página12'!D66</f>
        <v>2017638.34</v>
      </c>
      <c r="E66" s="48">
        <f>E65+'Página12'!E66</f>
        <v>1920533.39</v>
      </c>
      <c r="F66" s="48">
        <f>F65+'Página12'!F66</f>
        <v>1824506.65</v>
      </c>
      <c r="G66" s="48">
        <f>G65+'Página12'!G66</f>
        <v>1509137.82</v>
      </c>
      <c r="H66" s="48">
        <f>H65+'Página12'!H66</f>
        <v>1285104.88</v>
      </c>
      <c r="I66" s="48">
        <f>I65+'Página12'!I66</f>
        <v>1362897.5</v>
      </c>
      <c r="J66" s="48">
        <f>J65+'Página12'!J66</f>
        <v>1285104.88</v>
      </c>
      <c r="K66" s="48">
        <f>K65+'Página12'!K66</f>
        <v>1224508.19</v>
      </c>
    </row>
    <row r="67">
      <c r="A67" s="34">
        <v>44348.0</v>
      </c>
      <c r="B67" s="48">
        <f>B66+'Página12'!B67</f>
        <v>2256150.68</v>
      </c>
      <c r="C67" s="48">
        <f>C66+'Página12'!C67</f>
        <v>1949343.57</v>
      </c>
      <c r="D67" s="48">
        <f>D66+'Página12'!D67</f>
        <v>2047641.96</v>
      </c>
      <c r="E67" s="48">
        <f>E66+'Página12'!E67</f>
        <v>1949343.57</v>
      </c>
      <c r="F67" s="48">
        <f>F66+'Página12'!F67</f>
        <v>1851876.32</v>
      </c>
      <c r="G67" s="48">
        <f>G66+'Página12'!G67</f>
        <v>1532991.77</v>
      </c>
      <c r="H67" s="48">
        <f>H66+'Página12'!H67</f>
        <v>1303583.29</v>
      </c>
      <c r="I67" s="48">
        <f>I66+'Página12'!I67</f>
        <v>1382448.68</v>
      </c>
      <c r="J67" s="48">
        <f>J66+'Página12'!J67</f>
        <v>1303583.29</v>
      </c>
      <c r="K67" s="48">
        <f>K66+'Página12'!K67</f>
        <v>1242140.66</v>
      </c>
    </row>
    <row r="68">
      <c r="A68" s="34">
        <v>44378.0</v>
      </c>
      <c r="B68" s="48">
        <f>B67+'Página12'!B68</f>
        <v>2292089.16</v>
      </c>
      <c r="C68" s="48">
        <f>C67+'Página12'!C68</f>
        <v>1978153.75</v>
      </c>
      <c r="D68" s="48">
        <f>D67+'Página12'!D68</f>
        <v>2077645.58</v>
      </c>
      <c r="E68" s="48">
        <f>E67+'Página12'!E68</f>
        <v>1978153.75</v>
      </c>
      <c r="F68" s="48">
        <f>F67+'Página12'!F68</f>
        <v>1879245.99</v>
      </c>
      <c r="G68" s="48">
        <f>G67+'Página12'!G68</f>
        <v>1556845.72</v>
      </c>
      <c r="H68" s="48">
        <f>H67+'Página12'!H68</f>
        <v>1322061.7</v>
      </c>
      <c r="I68" s="48">
        <f>I67+'Página12'!I68</f>
        <v>1401999.86</v>
      </c>
      <c r="J68" s="48">
        <f>J67+'Página12'!J68</f>
        <v>1322061.7</v>
      </c>
      <c r="K68" s="48">
        <f>K67+'Página12'!K68</f>
        <v>1259773.13</v>
      </c>
    </row>
    <row r="69">
      <c r="A69" s="34">
        <v>44409.0</v>
      </c>
      <c r="B69" s="48">
        <f>B68+'Página12'!B69</f>
        <v>2328027.64</v>
      </c>
      <c r="C69" s="48">
        <f>C68+'Página12'!C69</f>
        <v>2006963.93</v>
      </c>
      <c r="D69" s="48">
        <f>D68+'Página12'!D69</f>
        <v>2107649.2</v>
      </c>
      <c r="E69" s="48">
        <f>E68+'Página12'!E69</f>
        <v>2006963.93</v>
      </c>
      <c r="F69" s="48">
        <f>F68+'Página12'!F69</f>
        <v>1906615.66</v>
      </c>
      <c r="G69" s="48">
        <f>G68+'Página12'!G69</f>
        <v>1580699.67</v>
      </c>
      <c r="H69" s="48">
        <f>H68+'Página12'!H69</f>
        <v>1340540.11</v>
      </c>
      <c r="I69" s="48">
        <f>I68+'Página12'!I69</f>
        <v>1421551.04</v>
      </c>
      <c r="J69" s="48">
        <f>J68+'Página12'!J69</f>
        <v>1340540.11</v>
      </c>
      <c r="K69" s="48">
        <f>K68+'Página12'!K69</f>
        <v>1277405.6</v>
      </c>
    </row>
    <row r="70">
      <c r="A70" s="34">
        <v>44440.0</v>
      </c>
      <c r="B70" s="48">
        <f>B69+'Página12'!B70</f>
        <v>2363966.12</v>
      </c>
      <c r="C70" s="48">
        <f>C69+'Página12'!C70</f>
        <v>2035774.11</v>
      </c>
      <c r="D70" s="48">
        <f>D69+'Página12'!D70</f>
        <v>2137652.82</v>
      </c>
      <c r="E70" s="48">
        <f>E69+'Página12'!E70</f>
        <v>2035774.11</v>
      </c>
      <c r="F70" s="48">
        <f>F69+'Página12'!F70</f>
        <v>1933985.33</v>
      </c>
      <c r="G70" s="48">
        <f>G69+'Página12'!G70</f>
        <v>1604553.62</v>
      </c>
      <c r="H70" s="48">
        <f>H69+'Página12'!H70</f>
        <v>1359018.52</v>
      </c>
      <c r="I70" s="48">
        <f>I69+'Página12'!I70</f>
        <v>1441102.22</v>
      </c>
      <c r="J70" s="48">
        <f>J69+'Página12'!J70</f>
        <v>1359018.52</v>
      </c>
      <c r="K70" s="48">
        <f>K69+'Página12'!K70</f>
        <v>1295038.07</v>
      </c>
    </row>
    <row r="71">
      <c r="A71" s="34">
        <v>44470.0</v>
      </c>
      <c r="B71" s="48">
        <f>B70+'Página12'!B71</f>
        <v>2399904.6</v>
      </c>
      <c r="C71" s="48">
        <f>C70+'Página12'!C71</f>
        <v>2064584.29</v>
      </c>
      <c r="D71" s="48">
        <f>D70+'Página12'!D71</f>
        <v>2167656.44</v>
      </c>
      <c r="E71" s="48">
        <f>E70+'Página12'!E71</f>
        <v>2064584.29</v>
      </c>
      <c r="F71" s="48">
        <f>F70+'Página12'!F71</f>
        <v>1961355</v>
      </c>
      <c r="G71" s="48">
        <f>G70+'Página12'!G71</f>
        <v>1628407.57</v>
      </c>
      <c r="H71" s="48">
        <f>H70+'Página12'!H71</f>
        <v>1377496.93</v>
      </c>
      <c r="I71" s="48">
        <f>I70+'Página12'!I71</f>
        <v>1460653.4</v>
      </c>
      <c r="J71" s="48">
        <f>J70+'Página12'!J71</f>
        <v>1377496.93</v>
      </c>
      <c r="K71" s="48">
        <f>K70+'Página12'!K71</f>
        <v>1312670.54</v>
      </c>
    </row>
    <row r="72">
      <c r="A72" s="34">
        <v>44501.0</v>
      </c>
      <c r="B72" s="48">
        <f>B71+'Página12'!B72</f>
        <v>2435843.08</v>
      </c>
      <c r="C72" s="48">
        <f>C71+'Página12'!C72</f>
        <v>2093394.47</v>
      </c>
      <c r="D72" s="48">
        <f>D71+'Página12'!D72</f>
        <v>2197660.06</v>
      </c>
      <c r="E72" s="48">
        <f>E71+'Página12'!E72</f>
        <v>2093394.47</v>
      </c>
      <c r="F72" s="48">
        <f>F71+'Página12'!F72</f>
        <v>1988724.67</v>
      </c>
      <c r="G72" s="48">
        <f>G71+'Página12'!G72</f>
        <v>1652261.52</v>
      </c>
      <c r="H72" s="48">
        <f>H71+'Página12'!H72</f>
        <v>1395975.34</v>
      </c>
      <c r="I72" s="48">
        <f>I71+'Página12'!I72</f>
        <v>1480204.58</v>
      </c>
      <c r="J72" s="48">
        <f>J71+'Página12'!J72</f>
        <v>1395975.34</v>
      </c>
      <c r="K72" s="48">
        <f>K71+'Página12'!K72</f>
        <v>1330303.01</v>
      </c>
    </row>
    <row r="73">
      <c r="A73" s="34">
        <v>44531.0</v>
      </c>
      <c r="B73" s="48">
        <f>B72+'Página12'!B73</f>
        <v>2519687.55</v>
      </c>
      <c r="C73" s="48">
        <f>C72+'Página12'!C73</f>
        <v>2160608.62</v>
      </c>
      <c r="D73" s="48">
        <f>D72+'Página12'!D73</f>
        <v>2267658.51</v>
      </c>
      <c r="E73" s="48">
        <f>E72+'Página12'!E73</f>
        <v>2160608.62</v>
      </c>
      <c r="F73" s="48">
        <f>F72+'Página12'!F73</f>
        <v>2052578.11</v>
      </c>
      <c r="G73" s="48">
        <f>G72+'Página12'!G73</f>
        <v>1707912.77</v>
      </c>
      <c r="H73" s="48">
        <f>H72+'Página12'!H73</f>
        <v>1439085.46</v>
      </c>
      <c r="I73" s="48">
        <f>I72+'Página12'!I73</f>
        <v>1525817.49</v>
      </c>
      <c r="J73" s="48">
        <f>J72+'Página12'!J73</f>
        <v>1439085.46</v>
      </c>
      <c r="K73" s="48">
        <f>K72+'Página12'!K73</f>
        <v>1371439.56</v>
      </c>
    </row>
    <row r="74">
      <c r="A74" s="34">
        <v>44562.0</v>
      </c>
      <c r="B74" s="48">
        <f>B73+'Página12'!B74</f>
        <v>2558522.2</v>
      </c>
      <c r="C74" s="48">
        <f>C73+'Página12'!C74</f>
        <v>2189418.8</v>
      </c>
      <c r="D74" s="48">
        <f>D73+'Página12'!D74</f>
        <v>2297662.13</v>
      </c>
      <c r="E74" s="48">
        <f>E73+'Página12'!E74</f>
        <v>2189418.8</v>
      </c>
      <c r="F74" s="48">
        <f>F73+'Página12'!F74</f>
        <v>2079947.78</v>
      </c>
      <c r="G74" s="48">
        <f>G73+'Página12'!G74</f>
        <v>1733936.57</v>
      </c>
      <c r="H74" s="48">
        <f>H73+'Página12'!H74</f>
        <v>1457633.99</v>
      </c>
      <c r="I74" s="48">
        <f>I73+'Página12'!I74</f>
        <v>1545438.8</v>
      </c>
      <c r="J74" s="48">
        <f>J73+'Página12'!J74</f>
        <v>1457633.99</v>
      </c>
      <c r="K74" s="48">
        <f>K73+'Página12'!K74</f>
        <v>1389142.16</v>
      </c>
    </row>
    <row r="75">
      <c r="A75" s="34">
        <v>44593.0</v>
      </c>
      <c r="B75" s="48">
        <f>B74+'Página12'!B75</f>
        <v>2597356.85</v>
      </c>
      <c r="C75" s="48">
        <f>C74+'Página12'!C75</f>
        <v>2218228.98</v>
      </c>
      <c r="D75" s="48">
        <f>D74+'Página12'!D75</f>
        <v>2327665.75</v>
      </c>
      <c r="E75" s="48">
        <f>E74+'Página12'!E75</f>
        <v>2218228.98</v>
      </c>
      <c r="F75" s="48">
        <f>F74+'Página12'!F75</f>
        <v>2107317.45</v>
      </c>
      <c r="G75" s="48">
        <f>G74+'Página12'!G75</f>
        <v>1759960.37</v>
      </c>
      <c r="H75" s="48">
        <f>H74+'Página12'!H75</f>
        <v>1476182.52</v>
      </c>
      <c r="I75" s="48">
        <f>I74+'Página12'!I75</f>
        <v>1565060.11</v>
      </c>
      <c r="J75" s="48">
        <f>J74+'Página12'!J75</f>
        <v>1476182.52</v>
      </c>
      <c r="K75" s="48">
        <f>K74+'Página12'!K75</f>
        <v>1406844.76</v>
      </c>
    </row>
    <row r="76">
      <c r="A76" s="34">
        <v>44621.0</v>
      </c>
      <c r="B76" s="48">
        <f>B75+'Página12'!B76</f>
        <v>2636191.5</v>
      </c>
      <c r="C76" s="48">
        <f>C75+'Página12'!C76</f>
        <v>2247039.16</v>
      </c>
      <c r="D76" s="48">
        <f>D75+'Página12'!D76</f>
        <v>2357669.37</v>
      </c>
      <c r="E76" s="48">
        <f>E75+'Página12'!E76</f>
        <v>2247039.16</v>
      </c>
      <c r="F76" s="48">
        <f>F75+'Página12'!F76</f>
        <v>2134687.12</v>
      </c>
      <c r="G76" s="48">
        <f>G75+'Página12'!G76</f>
        <v>1785984.17</v>
      </c>
      <c r="H76" s="48">
        <f>H75+'Página12'!H76</f>
        <v>1494731.05</v>
      </c>
      <c r="I76" s="48">
        <f>I75+'Página12'!I76</f>
        <v>1584681.42</v>
      </c>
      <c r="J76" s="48">
        <f>J75+'Página12'!J76</f>
        <v>1494731.05</v>
      </c>
      <c r="K76" s="48">
        <f>K75+'Página12'!K76</f>
        <v>1424547.36</v>
      </c>
    </row>
    <row r="77">
      <c r="A77" s="34">
        <v>44652.0</v>
      </c>
      <c r="B77" s="48">
        <f>B76+'Página12'!B77</f>
        <v>2675026.15</v>
      </c>
      <c r="C77" s="48">
        <f>C76+'Página12'!C77</f>
        <v>2275849.34</v>
      </c>
      <c r="D77" s="48">
        <f>D76+'Página12'!D77</f>
        <v>2387672.99</v>
      </c>
      <c r="E77" s="48">
        <f>E76+'Página12'!E77</f>
        <v>2275849.34</v>
      </c>
      <c r="F77" s="48">
        <f>F76+'Página12'!F77</f>
        <v>2162056.79</v>
      </c>
      <c r="G77" s="48">
        <f>G76+'Página12'!G77</f>
        <v>1812007.97</v>
      </c>
      <c r="H77" s="48">
        <f>H76+'Página12'!H77</f>
        <v>1513279.58</v>
      </c>
      <c r="I77" s="48">
        <f>I76+'Página12'!I77</f>
        <v>1604302.73</v>
      </c>
      <c r="J77" s="48">
        <f>J76+'Página12'!J77</f>
        <v>1513279.58</v>
      </c>
      <c r="K77" s="48">
        <f>K76+'Página12'!K77</f>
        <v>1442249.96</v>
      </c>
    </row>
    <row r="78">
      <c r="A78" s="34">
        <v>44682.0</v>
      </c>
      <c r="B78" s="48">
        <f>B77+'Página12'!B78</f>
        <v>2713860.8</v>
      </c>
      <c r="C78" s="48">
        <f>C77+'Página12'!C78</f>
        <v>2304659.52</v>
      </c>
      <c r="D78" s="48">
        <f>D77+'Página12'!D78</f>
        <v>2417676.61</v>
      </c>
      <c r="E78" s="48">
        <f>E77+'Página12'!E78</f>
        <v>2304659.52</v>
      </c>
      <c r="F78" s="48">
        <f>F77+'Página12'!F78</f>
        <v>2189426.46</v>
      </c>
      <c r="G78" s="48">
        <f>G77+'Página12'!G78</f>
        <v>1838031.77</v>
      </c>
      <c r="H78" s="48">
        <f>H77+'Página12'!H78</f>
        <v>1531828.11</v>
      </c>
      <c r="I78" s="48">
        <f>I77+'Página12'!I78</f>
        <v>1623924.04</v>
      </c>
      <c r="J78" s="48">
        <f>J77+'Página12'!J78</f>
        <v>1531828.11</v>
      </c>
      <c r="K78" s="48">
        <f>K77+'Página12'!K78</f>
        <v>1459952.56</v>
      </c>
    </row>
    <row r="79">
      <c r="A79" s="34">
        <v>44713.0</v>
      </c>
      <c r="B79" s="48">
        <f>B78+'Página12'!B79</f>
        <v>2752695.45</v>
      </c>
      <c r="C79" s="48">
        <f>C78+'Página12'!C79</f>
        <v>2333469.7</v>
      </c>
      <c r="D79" s="48">
        <f>D78+'Página12'!D79</f>
        <v>2447680.23</v>
      </c>
      <c r="E79" s="48">
        <f>E78+'Página12'!E79</f>
        <v>2333469.7</v>
      </c>
      <c r="F79" s="48">
        <f>F78+'Página12'!F79</f>
        <v>2216796.13</v>
      </c>
      <c r="G79" s="48">
        <f>G78+'Página12'!G79</f>
        <v>1864055.57</v>
      </c>
      <c r="H79" s="48">
        <f>H78+'Página12'!H79</f>
        <v>1550376.64</v>
      </c>
      <c r="I79" s="48">
        <f>I78+'Página12'!I79</f>
        <v>1643545.35</v>
      </c>
      <c r="J79" s="48">
        <f>J78+'Página12'!J79</f>
        <v>1550376.64</v>
      </c>
      <c r="K79" s="48">
        <f>K78+'Página12'!K79</f>
        <v>1477655.16</v>
      </c>
    </row>
    <row r="80">
      <c r="A80" s="34">
        <v>44743.0</v>
      </c>
      <c r="B80" s="48">
        <f>B79+'Página12'!B80</f>
        <v>2791530.1</v>
      </c>
      <c r="C80" s="48">
        <f>C79+'Página12'!C80</f>
        <v>2362279.88</v>
      </c>
      <c r="D80" s="48">
        <f>D79+'Página12'!D80</f>
        <v>2477683.85</v>
      </c>
      <c r="E80" s="48">
        <f>E79+'Página12'!E80</f>
        <v>2362279.88</v>
      </c>
      <c r="F80" s="48">
        <f>F79+'Página12'!F80</f>
        <v>2244165.8</v>
      </c>
      <c r="G80" s="48">
        <f>G79+'Página12'!G80</f>
        <v>1890079.37</v>
      </c>
      <c r="H80" s="48">
        <f>H79+'Página12'!H80</f>
        <v>1568925.17</v>
      </c>
      <c r="I80" s="48">
        <f>I79+'Página12'!I80</f>
        <v>1663166.66</v>
      </c>
      <c r="J80" s="48">
        <f>J79+'Página12'!J80</f>
        <v>1568925.17</v>
      </c>
      <c r="K80" s="48">
        <f>K79+'Página12'!K80</f>
        <v>1495357.76</v>
      </c>
    </row>
    <row r="81">
      <c r="A81" s="34">
        <v>44774.0</v>
      </c>
      <c r="B81" s="48">
        <f>B80+'Página12'!B81</f>
        <v>2830364.75</v>
      </c>
      <c r="C81" s="48">
        <f>C80+'Página12'!C81</f>
        <v>2391090.06</v>
      </c>
      <c r="D81" s="48">
        <f>D80+'Página12'!D81</f>
        <v>2507687.47</v>
      </c>
      <c r="E81" s="48">
        <f>E80+'Página12'!E81</f>
        <v>2391090.06</v>
      </c>
      <c r="F81" s="48">
        <f>F80+'Página12'!F81</f>
        <v>2271535.47</v>
      </c>
      <c r="G81" s="48">
        <f>G80+'Página12'!G81</f>
        <v>1916103.17</v>
      </c>
      <c r="H81" s="48">
        <f>H80+'Página12'!H81</f>
        <v>1587473.7</v>
      </c>
      <c r="I81" s="48">
        <f>I80+'Página12'!I81</f>
        <v>1682787.97</v>
      </c>
      <c r="J81" s="48">
        <f>J80+'Página12'!J81</f>
        <v>1587473.7</v>
      </c>
      <c r="K81" s="48">
        <f>K80+'Página12'!K81</f>
        <v>1513060.36</v>
      </c>
    </row>
    <row r="82">
      <c r="A82" s="34">
        <v>44805.0</v>
      </c>
      <c r="B82" s="48">
        <f>B81+'Página12'!B82</f>
        <v>2869199.4</v>
      </c>
      <c r="C82" s="48">
        <f>C81+'Página12'!C82</f>
        <v>2419900.24</v>
      </c>
      <c r="D82" s="48">
        <f>D81+'Página12'!D82</f>
        <v>2537691.09</v>
      </c>
      <c r="E82" s="48">
        <f>E81+'Página12'!E82</f>
        <v>2419900.24</v>
      </c>
      <c r="F82" s="48">
        <f>F81+'Página12'!F82</f>
        <v>2298905.14</v>
      </c>
      <c r="G82" s="48">
        <f>G81+'Página12'!G82</f>
        <v>1942126.97</v>
      </c>
      <c r="H82" s="48">
        <f>H81+'Página12'!H82</f>
        <v>1606022.23</v>
      </c>
      <c r="I82" s="48">
        <f>I81+'Página12'!I82</f>
        <v>1702409.28</v>
      </c>
      <c r="J82" s="48">
        <f>J81+'Página12'!J82</f>
        <v>1606022.23</v>
      </c>
      <c r="K82" s="48">
        <f>K81+'Página12'!K82</f>
        <v>1530762.96</v>
      </c>
    </row>
    <row r="83">
      <c r="A83" s="34">
        <v>44835.0</v>
      </c>
      <c r="B83" s="48">
        <f>B82+'Página12'!B83</f>
        <v>2908034.05</v>
      </c>
      <c r="C83" s="48">
        <f>C82+'Página12'!C83</f>
        <v>2448710.42</v>
      </c>
      <c r="D83" s="48">
        <f>D82+'Página12'!D83</f>
        <v>2567694.71</v>
      </c>
      <c r="E83" s="48">
        <f>E82+'Página12'!E83</f>
        <v>2448710.42</v>
      </c>
      <c r="F83" s="48">
        <f>F82+'Página12'!F83</f>
        <v>2326274.81</v>
      </c>
      <c r="G83" s="48">
        <f>G82+'Página12'!G83</f>
        <v>1968150.77</v>
      </c>
      <c r="H83" s="48">
        <f>H82+'Página12'!H83</f>
        <v>1624570.76</v>
      </c>
      <c r="I83" s="48">
        <f>I82+'Página12'!I83</f>
        <v>1722030.59</v>
      </c>
      <c r="J83" s="48">
        <f>J82+'Página12'!J83</f>
        <v>1624570.76</v>
      </c>
      <c r="K83" s="48">
        <f>K82+'Página12'!K83</f>
        <v>1548465.56</v>
      </c>
    </row>
    <row r="84">
      <c r="A84" s="34">
        <v>44866.0</v>
      </c>
      <c r="B84" s="48">
        <f>B83+'Página12'!B84</f>
        <v>2946868.7</v>
      </c>
      <c r="C84" s="48">
        <f>C83+'Página12'!C84</f>
        <v>2477520.6</v>
      </c>
      <c r="D84" s="48">
        <f>D83+'Página12'!D84</f>
        <v>2597698.33</v>
      </c>
      <c r="E84" s="48">
        <f>E83+'Página12'!E84</f>
        <v>2477520.6</v>
      </c>
      <c r="F84" s="48">
        <f>F83+'Página12'!F84</f>
        <v>2353644.48</v>
      </c>
      <c r="G84" s="48">
        <f>G83+'Página12'!G84</f>
        <v>1994174.57</v>
      </c>
      <c r="H84" s="48">
        <f>H83+'Página12'!H84</f>
        <v>1643119.29</v>
      </c>
      <c r="I84" s="48">
        <f>I83+'Página12'!I84</f>
        <v>1741651.9</v>
      </c>
      <c r="J84" s="48">
        <f>J83+'Página12'!J84</f>
        <v>1643119.29</v>
      </c>
      <c r="K84" s="48">
        <f>K83+'Página12'!K84</f>
        <v>1566168.16</v>
      </c>
    </row>
    <row r="85">
      <c r="A85" s="34">
        <v>44896.0</v>
      </c>
      <c r="B85" s="48">
        <f>B84+'Página12'!B85</f>
        <v>3037469.94</v>
      </c>
      <c r="C85" s="48">
        <f>C84+'Página12'!C85</f>
        <v>2544734.75</v>
      </c>
      <c r="D85" s="48">
        <f>D84+'Página12'!D85</f>
        <v>2667696.78</v>
      </c>
      <c r="E85" s="48">
        <f>E84+'Página12'!E85</f>
        <v>2544734.75</v>
      </c>
      <c r="F85" s="48">
        <f>F84+'Página12'!F85</f>
        <v>2417497.92</v>
      </c>
      <c r="G85" s="48">
        <f>G84+'Página12'!G85</f>
        <v>2054888.1</v>
      </c>
      <c r="H85" s="48">
        <f>H84+'Página12'!H85</f>
        <v>1686393.02</v>
      </c>
      <c r="I85" s="48">
        <f>I84+'Página12'!I85</f>
        <v>1787428.42</v>
      </c>
      <c r="J85" s="48">
        <f>J84+'Página12'!J85</f>
        <v>1686393.02</v>
      </c>
      <c r="K85" s="48">
        <f>K84+'Página12'!K85</f>
        <v>1607468.32</v>
      </c>
    </row>
    <row r="86">
      <c r="A86" s="34">
        <v>44927.0</v>
      </c>
      <c r="B86" s="48">
        <f>B85+'Página12'!B86</f>
        <v>3076461.21</v>
      </c>
      <c r="C86" s="48">
        <f>C85+'Página12'!C86</f>
        <v>2573544.93</v>
      </c>
      <c r="D86" s="48">
        <f>D85+'Página12'!D86</f>
        <v>2697700.4</v>
      </c>
      <c r="E86" s="48">
        <f>E85+'Página12'!E86</f>
        <v>2573544.93</v>
      </c>
      <c r="F86" s="48">
        <f>F85+'Página12'!F86</f>
        <v>2444867.59</v>
      </c>
      <c r="G86" s="48">
        <f>G85+'Página12'!G86</f>
        <v>2081070.74</v>
      </c>
      <c r="H86" s="48">
        <f>H85+'Página12'!H86</f>
        <v>1704986.84</v>
      </c>
      <c r="I86" s="48">
        <f>I85+'Página12'!I86</f>
        <v>1807095.01</v>
      </c>
      <c r="J86" s="48">
        <f>J85+'Página12'!J86</f>
        <v>1704986.84</v>
      </c>
      <c r="K86" s="48">
        <f>K85+'Página12'!K86</f>
        <v>1625216.2</v>
      </c>
    </row>
    <row r="87">
      <c r="A87" s="34">
        <v>44958.0</v>
      </c>
      <c r="B87" s="48">
        <f>B86+'Página12'!B87</f>
        <v>3115454.79</v>
      </c>
      <c r="C87" s="48">
        <f>C86+'Página12'!C87</f>
        <v>2602355.11</v>
      </c>
      <c r="D87" s="48">
        <f>D86+'Página12'!D87</f>
        <v>2727704.02</v>
      </c>
      <c r="E87" s="48">
        <f>E86+'Página12'!E87</f>
        <v>2602355.11</v>
      </c>
      <c r="F87" s="48">
        <f>F86+'Página12'!F87</f>
        <v>2472237.26</v>
      </c>
      <c r="G87" s="48">
        <f>G86+'Página12'!G87</f>
        <v>2107255.05</v>
      </c>
      <c r="H87" s="48">
        <f>H86+'Página12'!H87</f>
        <v>1723580.66</v>
      </c>
      <c r="I87" s="48">
        <f>I86+'Página12'!I87</f>
        <v>1826761.6</v>
      </c>
      <c r="J87" s="48">
        <f>J86+'Página12'!J87</f>
        <v>1723580.66</v>
      </c>
      <c r="K87" s="48">
        <f>K86+'Página12'!K87</f>
        <v>1642964.08</v>
      </c>
    </row>
    <row r="88">
      <c r="A88" s="34">
        <v>44986.0</v>
      </c>
      <c r="B88" s="48">
        <f>B87+'Página12'!B88</f>
        <v>3154448.37</v>
      </c>
      <c r="C88" s="48">
        <f>C87+'Página12'!C88</f>
        <v>2631165.29</v>
      </c>
      <c r="D88" s="48">
        <f>D87+'Página12'!D88</f>
        <v>2757707.64</v>
      </c>
      <c r="E88" s="48">
        <f>E87+'Página12'!E88</f>
        <v>2631165.29</v>
      </c>
      <c r="F88" s="48">
        <f>F87+'Página12'!F88</f>
        <v>2499606.93</v>
      </c>
      <c r="G88" s="48">
        <f>G87+'Página12'!G88</f>
        <v>2133439.36</v>
      </c>
      <c r="H88" s="48">
        <f>H87+'Página12'!H88</f>
        <v>1742174.48</v>
      </c>
      <c r="I88" s="48">
        <f>I87+'Página12'!I88</f>
        <v>1846428.19</v>
      </c>
      <c r="J88" s="48">
        <f>J87+'Página12'!J88</f>
        <v>1742174.48</v>
      </c>
      <c r="K88" s="48">
        <f>K87+'Página12'!K88</f>
        <v>1660711.96</v>
      </c>
    </row>
    <row r="89">
      <c r="A89" s="34">
        <v>45017.0</v>
      </c>
      <c r="B89" s="48">
        <f>B88+'Página12'!B89</f>
        <v>3195498.43</v>
      </c>
      <c r="C89" s="48">
        <f>C88+'Página12'!C89</f>
        <v>2659975.47</v>
      </c>
      <c r="D89" s="48">
        <f>D88+'Página12'!D89</f>
        <v>2787711.26</v>
      </c>
      <c r="E89" s="48">
        <f>E88+'Página12'!E89</f>
        <v>2659975.47</v>
      </c>
      <c r="F89" s="48">
        <f>F88+'Página12'!F89</f>
        <v>2526976.6</v>
      </c>
      <c r="G89" s="48">
        <f>G88+'Página12'!G89</f>
        <v>2161114.62</v>
      </c>
      <c r="H89" s="48">
        <f>H88+'Página12'!H89</f>
        <v>1760768.3</v>
      </c>
      <c r="I89" s="48">
        <f>I88+'Página12'!I89</f>
        <v>1866094.78</v>
      </c>
      <c r="J89" s="48">
        <f>J88+'Página12'!J89</f>
        <v>1760768.3</v>
      </c>
      <c r="K89" s="48">
        <f>K88+'Página12'!K89</f>
        <v>1678459.84</v>
      </c>
    </row>
    <row r="90">
      <c r="A90" s="34">
        <v>45047.0</v>
      </c>
      <c r="B90" s="48">
        <f>B89+'Página12'!B90</f>
        <v>3236852.11</v>
      </c>
      <c r="C90" s="48">
        <f>C89+'Página12'!C90</f>
        <v>2691378.56</v>
      </c>
      <c r="D90" s="48">
        <f>D89+'Página12'!D90</f>
        <v>2820172.21</v>
      </c>
      <c r="E90" s="48">
        <f>E89+'Página12'!E90</f>
        <v>2691378.56</v>
      </c>
      <c r="F90" s="48">
        <f>F89+'Página12'!F90</f>
        <v>2556809.54</v>
      </c>
      <c r="G90" s="48">
        <f>G89+'Página12'!G90</f>
        <v>2188687.29</v>
      </c>
      <c r="H90" s="48">
        <f>H89+'Página12'!H90</f>
        <v>1780900.61</v>
      </c>
      <c r="I90" s="48">
        <f>I89+'Página12'!I90</f>
        <v>1887220.24</v>
      </c>
      <c r="J90" s="48">
        <f>J89+'Página12'!J90</f>
        <v>1780900.61</v>
      </c>
      <c r="K90" s="48">
        <f>K89+'Página12'!K90</f>
        <v>1697670.07</v>
      </c>
    </row>
    <row r="91">
      <c r="A91" s="34">
        <v>45078.0</v>
      </c>
      <c r="B91" s="48">
        <f>B90+'Página12'!B91</f>
        <v>3278205.79</v>
      </c>
      <c r="C91" s="48">
        <f>C90+'Página12'!C91</f>
        <v>2722781.65</v>
      </c>
      <c r="D91" s="48">
        <f>D90+'Página12'!D91</f>
        <v>2852633.16</v>
      </c>
      <c r="E91" s="48">
        <f>E90+'Página12'!E91</f>
        <v>2722781.65</v>
      </c>
      <c r="F91" s="48">
        <f>F90+'Página12'!F91</f>
        <v>2586642.48</v>
      </c>
      <c r="G91" s="48">
        <f>G90+'Página12'!G91</f>
        <v>2216259.96</v>
      </c>
      <c r="H91" s="48">
        <f>H90+'Página12'!H91</f>
        <v>1801032.92</v>
      </c>
      <c r="I91" s="48">
        <f>I90+'Página12'!I91</f>
        <v>1908345.7</v>
      </c>
      <c r="J91" s="48">
        <f>J90+'Página12'!J91</f>
        <v>1801032.92</v>
      </c>
      <c r="K91" s="48">
        <f>K90+'Página12'!K91</f>
        <v>1716880.3</v>
      </c>
    </row>
    <row r="92">
      <c r="A92" s="34">
        <v>45108.0</v>
      </c>
      <c r="B92" s="48">
        <f>B91+'Página12'!B92</f>
        <v>3319559.47</v>
      </c>
      <c r="C92" s="48">
        <f>C91+'Página12'!C92</f>
        <v>2754184.74</v>
      </c>
      <c r="D92" s="48">
        <f>D91+'Página12'!D92</f>
        <v>2885094.11</v>
      </c>
      <c r="E92" s="48">
        <f>E91+'Página12'!E92</f>
        <v>2754184.74</v>
      </c>
      <c r="F92" s="48">
        <f>F91+'Página12'!F92</f>
        <v>2616475.42</v>
      </c>
      <c r="G92" s="48">
        <f>G91+'Página12'!G92</f>
        <v>2243832.63</v>
      </c>
      <c r="H92" s="48">
        <f>H91+'Página12'!H92</f>
        <v>1821165.23</v>
      </c>
      <c r="I92" s="48">
        <f>I91+'Página12'!I92</f>
        <v>1929471.16</v>
      </c>
      <c r="J92" s="48">
        <f>J91+'Página12'!J92</f>
        <v>1821165.23</v>
      </c>
      <c r="K92" s="48">
        <f>K91+'Página12'!K92</f>
        <v>1736090.53</v>
      </c>
    </row>
    <row r="93">
      <c r="A93" s="34">
        <v>45139.0</v>
      </c>
      <c r="B93" s="48">
        <f>B92+'Página12'!B93</f>
        <v>3360913.15</v>
      </c>
      <c r="C93" s="48">
        <f>C92+'Página12'!C93</f>
        <v>2785587.83</v>
      </c>
      <c r="D93" s="48">
        <f>D92+'Página12'!D93</f>
        <v>2917555.06</v>
      </c>
      <c r="E93" s="48">
        <f>E92+'Página12'!E93</f>
        <v>2785587.83</v>
      </c>
      <c r="F93" s="48">
        <f>F92+'Página12'!F93</f>
        <v>2646308.36</v>
      </c>
      <c r="G93" s="48">
        <f>G92+'Página12'!G93</f>
        <v>2271405.3</v>
      </c>
      <c r="H93" s="48">
        <f>H92+'Página12'!H93</f>
        <v>1841297.54</v>
      </c>
      <c r="I93" s="48">
        <f>I92+'Página12'!I93</f>
        <v>1950596.62</v>
      </c>
      <c r="J93" s="48">
        <f>J92+'Página12'!J93</f>
        <v>1841297.54</v>
      </c>
      <c r="K93" s="48">
        <f>K92+'Página12'!K93</f>
        <v>1755300.76</v>
      </c>
    </row>
    <row r="94">
      <c r="A94" s="34">
        <v>45170.0</v>
      </c>
      <c r="B94" s="48">
        <f>B93+'Página12'!B94</f>
        <v>3402266.83</v>
      </c>
      <c r="C94" s="48">
        <f>C93+'Página12'!C94</f>
        <v>2816990.92</v>
      </c>
      <c r="D94" s="48">
        <f>D93+'Página12'!D94</f>
        <v>2950016.01</v>
      </c>
      <c r="E94" s="48">
        <f>E93+'Página12'!E94</f>
        <v>2816990.92</v>
      </c>
      <c r="F94" s="48">
        <f>F93+'Página12'!F94</f>
        <v>2676141.3</v>
      </c>
      <c r="G94" s="48">
        <f>G93+'Página12'!G94</f>
        <v>2298977.97</v>
      </c>
      <c r="H94" s="48">
        <f>H93+'Página12'!H94</f>
        <v>1861429.85</v>
      </c>
      <c r="I94" s="48">
        <f>I93+'Página12'!I94</f>
        <v>1971722.08</v>
      </c>
      <c r="J94" s="48">
        <f>J93+'Página12'!J94</f>
        <v>1861429.85</v>
      </c>
      <c r="K94" s="48">
        <f>K93+'Página12'!K94</f>
        <v>1774510.99</v>
      </c>
    </row>
    <row r="95">
      <c r="A95" s="34">
        <v>45200.0</v>
      </c>
      <c r="B95" s="48">
        <f>B94+'Página12'!B95</f>
        <v>3443620.51</v>
      </c>
      <c r="C95" s="48">
        <f>C94+'Página12'!C95</f>
        <v>2848394.01</v>
      </c>
      <c r="D95" s="48">
        <f>D94+'Página12'!D95</f>
        <v>2982476.96</v>
      </c>
      <c r="E95" s="48">
        <f>E94+'Página12'!E95</f>
        <v>2848394.01</v>
      </c>
      <c r="F95" s="48">
        <f>F94+'Página12'!F95</f>
        <v>2705974.24</v>
      </c>
      <c r="G95" s="48">
        <f>G94+'Página12'!G95</f>
        <v>2326550.64</v>
      </c>
      <c r="H95" s="48">
        <f>H94+'Página12'!H95</f>
        <v>1881562.16</v>
      </c>
      <c r="I95" s="48">
        <f>I94+'Página12'!I95</f>
        <v>1992847.54</v>
      </c>
      <c r="J95" s="48">
        <f>J94+'Página12'!J95</f>
        <v>1881562.16</v>
      </c>
      <c r="K95" s="48">
        <f>K94+'Página12'!K95</f>
        <v>1793721.22</v>
      </c>
    </row>
    <row r="96">
      <c r="A96" s="34">
        <v>45231.0</v>
      </c>
      <c r="B96" s="48">
        <f>B95+'Página12'!B96</f>
        <v>3484974.19</v>
      </c>
      <c r="C96" s="48">
        <f>C95+'Página12'!C96</f>
        <v>2879797.1</v>
      </c>
      <c r="D96" s="48">
        <f>D95+'Página12'!D96</f>
        <v>3014937.91</v>
      </c>
      <c r="E96" s="48">
        <f>E95+'Página12'!E96</f>
        <v>2879797.1</v>
      </c>
      <c r="F96" s="48">
        <f>F95+'Página12'!F96</f>
        <v>2735807.18</v>
      </c>
      <c r="G96" s="48">
        <f>G95+'Página12'!G96</f>
        <v>2354123.31</v>
      </c>
      <c r="H96" s="48">
        <f>H95+'Página12'!H96</f>
        <v>1901694.47</v>
      </c>
      <c r="I96" s="48">
        <f>I95+'Página12'!I96</f>
        <v>2013973</v>
      </c>
      <c r="J96" s="48">
        <f>J95+'Página12'!J96</f>
        <v>1901694.47</v>
      </c>
      <c r="K96" s="48">
        <f>K95+'Página12'!K96</f>
        <v>1812931.45</v>
      </c>
    </row>
    <row r="97">
      <c r="A97" s="34">
        <v>45261.0</v>
      </c>
      <c r="B97" s="48">
        <f>B96+'Página12'!B97</f>
        <v>3581452.33</v>
      </c>
      <c r="C97" s="48">
        <f>C96+'Página12'!C97</f>
        <v>2953060.52</v>
      </c>
      <c r="D97" s="48">
        <f>D96+'Página12'!D97</f>
        <v>3090669.31</v>
      </c>
      <c r="E97" s="48">
        <f>E96+'Página12'!E97</f>
        <v>2953060.52</v>
      </c>
      <c r="F97" s="48">
        <f>F96+'Página12'!F97</f>
        <v>2805407.43</v>
      </c>
      <c r="G97" s="48">
        <f>G96+'Página12'!G97</f>
        <v>2418450.36</v>
      </c>
      <c r="H97" s="48">
        <f>H96+'Página12'!H97</f>
        <v>1948663.14</v>
      </c>
      <c r="I97" s="48">
        <f>I96+'Página12'!I97</f>
        <v>2063258.7</v>
      </c>
      <c r="J97" s="48">
        <f>J96+'Página12'!J97</f>
        <v>1948663.14</v>
      </c>
      <c r="K97" s="48">
        <f>K96+'Página12'!K97</f>
        <v>1857748.93</v>
      </c>
    </row>
    <row r="98">
      <c r="A98" s="34">
        <v>45292.0</v>
      </c>
      <c r="B98" s="48">
        <f>B97+'Página12'!B98</f>
        <v>3622806.01</v>
      </c>
      <c r="C98" s="48">
        <f>C97+'Página12'!C98</f>
        <v>2984463.61</v>
      </c>
      <c r="D98" s="48">
        <f>D97+'Página12'!D98</f>
        <v>3123130.26</v>
      </c>
      <c r="E98" s="48">
        <f>E97+'Página12'!E98</f>
        <v>2984463.61</v>
      </c>
      <c r="F98" s="48">
        <f>F97+'Página12'!F98</f>
        <v>2835240.37</v>
      </c>
      <c r="G98" s="48">
        <f>G97+'Página12'!G98</f>
        <v>2446053.42</v>
      </c>
      <c r="H98" s="48">
        <f>H97+'Página12'!H98</f>
        <v>1968825.84</v>
      </c>
      <c r="I98" s="48">
        <f>I97+'Página12'!I98</f>
        <v>2084414.55</v>
      </c>
      <c r="J98" s="48">
        <f>J97+'Página12'!J98</f>
        <v>1968825.84</v>
      </c>
      <c r="K98" s="48">
        <f>K97+'Página12'!K98</f>
        <v>1876989.56</v>
      </c>
    </row>
    <row r="99">
      <c r="A99" s="34">
        <v>45323.0</v>
      </c>
      <c r="B99" s="48">
        <f>B98+'Página12'!B99</f>
        <v>3666458.35</v>
      </c>
      <c r="C99" s="48">
        <f>C98+'Página12'!C99</f>
        <v>3015866.7</v>
      </c>
      <c r="D99" s="48">
        <f>D98+'Página12'!D99</f>
        <v>3156941.21</v>
      </c>
      <c r="E99" s="48">
        <f>E98+'Página12'!E99</f>
        <v>3015866.7</v>
      </c>
      <c r="F99" s="48">
        <f>F98+'Página12'!F99</f>
        <v>2865073.31</v>
      </c>
      <c r="G99" s="48">
        <f>G98+'Página12'!G99</f>
        <v>2475334.05</v>
      </c>
      <c r="H99" s="48">
        <f>H98+'Página12'!H99</f>
        <v>1988999.58</v>
      </c>
      <c r="I99" s="48">
        <f>I98+'Página12'!I99</f>
        <v>2106560.19</v>
      </c>
      <c r="J99" s="48">
        <f>J98+'Página12'!J99</f>
        <v>1988999.58</v>
      </c>
      <c r="K99" s="48">
        <f>K98+'Página12'!K99</f>
        <v>1896241.23</v>
      </c>
    </row>
    <row r="100">
      <c r="A100" s="34">
        <v>45352.0</v>
      </c>
      <c r="B100" s="48">
        <f>B99+'Página12'!B100</f>
        <v>3710110.69</v>
      </c>
      <c r="C100" s="48">
        <f>C99+'Página12'!C100</f>
        <v>3047269.79</v>
      </c>
      <c r="D100" s="48">
        <f>D99+'Página12'!D100</f>
        <v>3190752.16</v>
      </c>
      <c r="E100" s="48">
        <f>E99+'Página12'!E100</f>
        <v>3047269.79</v>
      </c>
      <c r="F100" s="48">
        <f>F99+'Página12'!F100</f>
        <v>2894906.25</v>
      </c>
      <c r="G100" s="48">
        <f>G99+'Página12'!G100</f>
        <v>2504614.68</v>
      </c>
      <c r="H100" s="48">
        <f>H99+'Página12'!H100</f>
        <v>2009173.32</v>
      </c>
      <c r="I100" s="48">
        <f>I99+'Página12'!I100</f>
        <v>2128705.83</v>
      </c>
      <c r="J100" s="48">
        <f>J99+'Página12'!J100</f>
        <v>2009173.32</v>
      </c>
      <c r="K100" s="48">
        <f>K99+'Página12'!K100</f>
        <v>1915492.9</v>
      </c>
    </row>
    <row r="101">
      <c r="A101" s="34">
        <v>45383.0</v>
      </c>
      <c r="B101" s="48">
        <f>B100+'Página12'!B101</f>
        <v>3753763.03</v>
      </c>
      <c r="C101" s="48">
        <f>C100+'Página12'!C101</f>
        <v>3078672.88</v>
      </c>
      <c r="D101" s="48">
        <f>D100+'Página12'!D101</f>
        <v>3224563.11</v>
      </c>
      <c r="E101" s="48">
        <f>E100+'Página12'!E101</f>
        <v>3078672.88</v>
      </c>
      <c r="F101" s="48">
        <f>F100+'Página12'!F101</f>
        <v>2924739.19</v>
      </c>
      <c r="G101" s="48">
        <f>G100+'Página12'!G101</f>
        <v>2533895.31</v>
      </c>
      <c r="H101" s="48">
        <f>H100+'Página12'!H101</f>
        <v>2029347.06</v>
      </c>
      <c r="I101" s="48">
        <f>I100+'Página12'!I101</f>
        <v>2150851.47</v>
      </c>
      <c r="J101" s="48">
        <f>J100+'Página12'!J101</f>
        <v>2029347.06</v>
      </c>
      <c r="K101" s="48">
        <f>K100+'Página12'!K101</f>
        <v>1934744.57</v>
      </c>
    </row>
    <row r="102">
      <c r="A102" s="34">
        <v>45413.0</v>
      </c>
      <c r="B102" s="48">
        <f>B101+'Página12'!B102</f>
        <v>3797415.37</v>
      </c>
      <c r="C102" s="48">
        <f>C101+'Página12'!C102</f>
        <v>3110075.97</v>
      </c>
      <c r="D102" s="48">
        <f>D101+'Página12'!D102</f>
        <v>3258374.06</v>
      </c>
      <c r="E102" s="48">
        <f>E101+'Página12'!E102</f>
        <v>3110075.97</v>
      </c>
      <c r="F102" s="48">
        <f>F101+'Página12'!F102</f>
        <v>2954572.13</v>
      </c>
      <c r="G102" s="48">
        <f>G101+'Página12'!G102</f>
        <v>2563175.94</v>
      </c>
      <c r="H102" s="48">
        <f>H101+'Página12'!H102</f>
        <v>2049520.8</v>
      </c>
      <c r="I102" s="48">
        <f>I101+'Página12'!I102</f>
        <v>2172997.11</v>
      </c>
      <c r="J102" s="48">
        <f>J101+'Página12'!J102</f>
        <v>2049520.8</v>
      </c>
      <c r="K102" s="48">
        <f>K101+'Página12'!K102</f>
        <v>1953996.24</v>
      </c>
    </row>
    <row r="103">
      <c r="A103" s="34">
        <v>45444.0</v>
      </c>
      <c r="B103" s="48">
        <f>B102+'Página12'!B103</f>
        <v>3841067.71</v>
      </c>
      <c r="C103" s="48">
        <f>C102+'Página12'!C103</f>
        <v>3141479.06</v>
      </c>
      <c r="D103" s="48">
        <f>D102+'Página12'!D103</f>
        <v>3292185.01</v>
      </c>
      <c r="E103" s="48">
        <f>E102+'Página12'!E103</f>
        <v>3141479.06</v>
      </c>
      <c r="F103" s="48">
        <f>F102+'Página12'!F103</f>
        <v>2984405.07</v>
      </c>
      <c r="G103" s="48">
        <f>G102+'Página12'!G103</f>
        <v>2592456.57</v>
      </c>
      <c r="H103" s="48">
        <f>H102+'Página12'!H103</f>
        <v>2069694.54</v>
      </c>
      <c r="I103" s="48">
        <f>I102+'Página12'!I103</f>
        <v>2195142.75</v>
      </c>
      <c r="J103" s="48">
        <f>J102+'Página12'!J103</f>
        <v>2069694.54</v>
      </c>
      <c r="K103" s="48">
        <f>K102+'Página12'!K103</f>
        <v>1973247.91</v>
      </c>
    </row>
    <row r="104">
      <c r="A104" s="34">
        <v>45474.0</v>
      </c>
      <c r="B104" s="48">
        <f>B103+'Página12'!B104</f>
        <v>3884720.05</v>
      </c>
      <c r="C104" s="48">
        <f>C103+'Página12'!C104</f>
        <v>3172882.15</v>
      </c>
      <c r="D104" s="48">
        <f>D103+'Página12'!D104</f>
        <v>3325995.96</v>
      </c>
      <c r="E104" s="48">
        <f>E103+'Página12'!E104</f>
        <v>3172882.15</v>
      </c>
      <c r="F104" s="48">
        <f>F103+'Página12'!F104</f>
        <v>3014238.01</v>
      </c>
      <c r="G104" s="48">
        <f>G103+'Página12'!G104</f>
        <v>2621737.2</v>
      </c>
      <c r="H104" s="48">
        <f>H103+'Página12'!H104</f>
        <v>2089868.28</v>
      </c>
      <c r="I104" s="48">
        <f>I103+'Página12'!I104</f>
        <v>2217288.39</v>
      </c>
      <c r="J104" s="48">
        <f>J103+'Página12'!J104</f>
        <v>2089868.28</v>
      </c>
      <c r="K104" s="48">
        <f>K103+'Página12'!K104</f>
        <v>1992499.58</v>
      </c>
    </row>
    <row r="105">
      <c r="A105" s="34">
        <v>45505.0</v>
      </c>
      <c r="B105" s="48">
        <f>B104+'Página12'!B105</f>
        <v>3928372.39</v>
      </c>
      <c r="C105" s="48">
        <f>C104+'Página12'!C105</f>
        <v>3204285.24</v>
      </c>
      <c r="D105" s="48">
        <f>D104+'Página12'!D105</f>
        <v>3360256.91</v>
      </c>
      <c r="E105" s="48">
        <f>E104+'Página12'!E105</f>
        <v>3204285.24</v>
      </c>
      <c r="F105" s="48">
        <f>F104+'Página12'!F105</f>
        <v>3044070.95</v>
      </c>
      <c r="G105" s="48">
        <f>G104+'Página12'!G105</f>
        <v>2651017.83</v>
      </c>
      <c r="H105" s="48">
        <f>H104+'Página12'!H105</f>
        <v>2110042.02</v>
      </c>
      <c r="I105" s="48">
        <f>I104+'Página12'!I105</f>
        <v>2239760.28</v>
      </c>
      <c r="J105" s="48">
        <f>J104+'Página12'!J105</f>
        <v>2110042.02</v>
      </c>
      <c r="K105" s="48">
        <f>K104+'Página12'!K105</f>
        <v>2011751.25</v>
      </c>
    </row>
    <row r="106">
      <c r="A106" s="34">
        <v>45536.0</v>
      </c>
      <c r="B106" s="48">
        <f>B105+'Página12'!B106</f>
        <v>3972024.73</v>
      </c>
      <c r="C106" s="48">
        <f>C105+'Página12'!C106</f>
        <v>3235688.33</v>
      </c>
      <c r="D106" s="48">
        <f>D105+'Página12'!D106</f>
        <v>3394517.86</v>
      </c>
      <c r="E106" s="48">
        <f>E105+'Página12'!E106</f>
        <v>3235688.33</v>
      </c>
      <c r="F106" s="48">
        <f>F105+'Página12'!F106</f>
        <v>3073903.89</v>
      </c>
      <c r="G106" s="48">
        <f>G105+'Página12'!G106</f>
        <v>2680298.46</v>
      </c>
      <c r="H106" s="48">
        <f>H105+'Página12'!H106</f>
        <v>2130215.76</v>
      </c>
      <c r="I106" s="48">
        <f>I105+'Página12'!I106</f>
        <v>2262232.17</v>
      </c>
      <c r="J106" s="48">
        <f>J105+'Página12'!J106</f>
        <v>2130215.76</v>
      </c>
      <c r="K106" s="48">
        <f>K105+'Página12'!K106</f>
        <v>2031002.92</v>
      </c>
    </row>
    <row r="107">
      <c r="A107" s="34">
        <v>45566.0</v>
      </c>
      <c r="B107" s="48">
        <f>B106+'Página12'!B107</f>
        <v>4015677.07</v>
      </c>
      <c r="C107" s="48">
        <f>C106+'Página12'!C107</f>
        <v>3267091.42</v>
      </c>
      <c r="D107" s="48">
        <f>D106+'Página12'!D107</f>
        <v>3428778.81</v>
      </c>
      <c r="E107" s="48">
        <f>E106+'Página12'!E107</f>
        <v>3267091.42</v>
      </c>
      <c r="F107" s="48">
        <f>F106+'Página12'!F107</f>
        <v>3103736.83</v>
      </c>
      <c r="G107" s="48">
        <f>G106+'Página12'!G107</f>
        <v>2709579.09</v>
      </c>
      <c r="H107" s="48">
        <f>H106+'Página12'!H107</f>
        <v>2150389.5</v>
      </c>
      <c r="I107" s="48">
        <f>I106+'Página12'!I107</f>
        <v>2284704.06</v>
      </c>
      <c r="J107" s="48">
        <f>J106+'Página12'!J107</f>
        <v>2150389.5</v>
      </c>
      <c r="K107" s="48">
        <f>K106+'Página12'!K107</f>
        <v>2050254.59</v>
      </c>
    </row>
    <row r="108">
      <c r="A108" s="34">
        <v>45597.0</v>
      </c>
      <c r="B108" s="48">
        <f>B107+'Página12'!B108</f>
        <v>4059329.41</v>
      </c>
      <c r="C108" s="48">
        <f>C107+'Página12'!C108</f>
        <v>3298494.51</v>
      </c>
      <c r="D108" s="48">
        <f>D107+'Página12'!D108</f>
        <v>3463039.76</v>
      </c>
      <c r="E108" s="48">
        <f>E107+'Página12'!E108</f>
        <v>3298494.51</v>
      </c>
      <c r="F108" s="48">
        <f>F107+'Página12'!F108</f>
        <v>3133569.77</v>
      </c>
      <c r="G108" s="48">
        <f>G107+'Página12'!G108</f>
        <v>2738859.72</v>
      </c>
      <c r="H108" s="48">
        <f>H107+'Página12'!H108</f>
        <v>2170563.24</v>
      </c>
      <c r="I108" s="48">
        <f>I107+'Página12'!I108</f>
        <v>2307175.95</v>
      </c>
      <c r="J108" s="48">
        <f>J107+'Página12'!J108</f>
        <v>2170563.24</v>
      </c>
      <c r="K108" s="48">
        <f>K107+'Página12'!K108</f>
        <v>2069506.26</v>
      </c>
    </row>
    <row r="109">
      <c r="A109" s="34">
        <v>45627.0</v>
      </c>
      <c r="B109" s="48">
        <f>B108+'Página12'!B109</f>
        <v>4161170.32</v>
      </c>
      <c r="C109" s="48">
        <f>C108+'Página12'!C109</f>
        <v>3371757.93</v>
      </c>
      <c r="D109" s="48">
        <f>D108+'Página12'!D109</f>
        <v>3542970.56</v>
      </c>
      <c r="E109" s="48">
        <f>E108+'Página12'!E109</f>
        <v>3371757.93</v>
      </c>
      <c r="F109" s="48">
        <f>F108+'Página12'!F109</f>
        <v>3203170.02</v>
      </c>
      <c r="G109" s="48">
        <f>G108+'Página12'!G109</f>
        <v>2807171.44</v>
      </c>
      <c r="H109" s="48">
        <f>H108+'Página12'!H109</f>
        <v>2217628.57</v>
      </c>
      <c r="I109" s="48">
        <f>I108+'Página12'!I109</f>
        <v>2359602.87</v>
      </c>
      <c r="J109" s="48">
        <f>J108+'Página12'!J109</f>
        <v>2217628.57</v>
      </c>
      <c r="K109" s="48">
        <f>K108+'Página12'!K109</f>
        <v>2114420.4</v>
      </c>
    </row>
    <row r="110">
      <c r="A110" s="34">
        <v>45658.0</v>
      </c>
      <c r="B110" s="48">
        <f>B109+'Página12'!B110</f>
        <v>4204822.66</v>
      </c>
      <c r="C110" s="48">
        <f>C109+'Página12'!C110</f>
        <v>3406585.4</v>
      </c>
      <c r="D110" s="48">
        <f>D109+'Página12'!D110</f>
        <v>3577231.51</v>
      </c>
      <c r="E110" s="48">
        <f>E109+'Página12'!E110</f>
        <v>3406585.4</v>
      </c>
      <c r="F110" s="48">
        <f>F109+'Página12'!F110</f>
        <v>3236256.12</v>
      </c>
      <c r="G110" s="48">
        <f>G109+'Página12'!G110</f>
        <v>2836452.07</v>
      </c>
      <c r="H110" s="48">
        <f>H109+'Página12'!H110</f>
        <v>2239813.28</v>
      </c>
      <c r="I110" s="48">
        <f>I109+'Página12'!I110</f>
        <v>2382074.76</v>
      </c>
      <c r="J110" s="48">
        <f>J109+'Página12'!J110</f>
        <v>2239813.28</v>
      </c>
      <c r="K110" s="48">
        <f>K109+'Página12'!K110</f>
        <v>2135582.48</v>
      </c>
    </row>
    <row r="111">
      <c r="A111" s="34">
        <v>45689.0</v>
      </c>
      <c r="B111" s="48">
        <f>B110+'Página12'!B111</f>
        <v>4250773.73</v>
      </c>
      <c r="C111" s="48">
        <f>C110+'Página12'!C111</f>
        <v>3441412.87</v>
      </c>
      <c r="D111" s="48">
        <f>D110+'Página12'!D111</f>
        <v>3613292.46</v>
      </c>
      <c r="E111" s="48">
        <f>E110+'Página12'!E111</f>
        <v>3441412.87</v>
      </c>
      <c r="F111" s="48">
        <f>F110+'Página12'!F111</f>
        <v>3269342.22</v>
      </c>
      <c r="G111" s="48">
        <f>G110+'Página12'!G111</f>
        <v>2867399.28</v>
      </c>
      <c r="H111" s="48">
        <f>H110+'Página12'!H111</f>
        <v>2261997.99</v>
      </c>
      <c r="I111" s="48">
        <f>I110+'Página12'!I111</f>
        <v>2405851.65</v>
      </c>
      <c r="J111" s="48">
        <f>J110+'Página12'!J111</f>
        <v>2261997.99</v>
      </c>
      <c r="K111" s="48">
        <f>K110+'Página12'!K111</f>
        <v>2156744.56</v>
      </c>
    </row>
    <row r="112">
      <c r="A112" s="34">
        <v>45717.0</v>
      </c>
      <c r="B112" s="48">
        <f>B111+'Página12'!B112</f>
        <v>4296724.8</v>
      </c>
      <c r="C112" s="48">
        <f>C111+'Página12'!C112</f>
        <v>3476240.34</v>
      </c>
      <c r="D112" s="48">
        <f>D111+'Página12'!D112</f>
        <v>3649353.41</v>
      </c>
      <c r="E112" s="48">
        <f>E111+'Página12'!E112</f>
        <v>3476240.34</v>
      </c>
      <c r="F112" s="48">
        <f>F111+'Página12'!F112</f>
        <v>3302428.32</v>
      </c>
      <c r="G112" s="48">
        <f>G111+'Página12'!G112</f>
        <v>2898346.49</v>
      </c>
      <c r="H112" s="48">
        <f>H111+'Página12'!H112</f>
        <v>2284182.7</v>
      </c>
      <c r="I112" s="48">
        <f>I111+'Página12'!I112</f>
        <v>2429628.54</v>
      </c>
      <c r="J112" s="48">
        <f>J111+'Página12'!J112</f>
        <v>2284182.7</v>
      </c>
      <c r="K112" s="48">
        <f>K111+'Página12'!K112</f>
        <v>2177906.64</v>
      </c>
    </row>
    <row r="113">
      <c r="A113" s="34">
        <v>45748.0</v>
      </c>
      <c r="B113" s="48">
        <f>B112+'Página12'!B113</f>
        <v>4342675.87</v>
      </c>
      <c r="C113" s="48">
        <f>C112+'Página12'!C113</f>
        <v>3511067.81</v>
      </c>
      <c r="D113" s="48">
        <f>D112+'Página12'!D113</f>
        <v>3685414.36</v>
      </c>
      <c r="E113" s="48">
        <f>E112+'Página12'!E113</f>
        <v>3511067.81</v>
      </c>
      <c r="F113" s="48">
        <f>F112+'Página12'!F113</f>
        <v>3335514.42</v>
      </c>
      <c r="G113" s="48">
        <f>G112+'Página12'!G113</f>
        <v>2929293.7</v>
      </c>
      <c r="H113" s="48">
        <f>H112+'Página12'!H113</f>
        <v>2306367.41</v>
      </c>
      <c r="I113" s="48">
        <f>I112+'Página12'!I113</f>
        <v>2453405.43</v>
      </c>
      <c r="J113" s="48">
        <f>J112+'Página12'!J113</f>
        <v>2306367.41</v>
      </c>
      <c r="K113" s="48">
        <f>K112+'Página12'!K113</f>
        <v>2199068.72</v>
      </c>
    </row>
    <row r="114">
      <c r="A114" s="34">
        <v>45778.0</v>
      </c>
      <c r="B114" s="48">
        <f>B113+'Página12'!B114</f>
        <v>4388626.94</v>
      </c>
      <c r="C114" s="48">
        <f>C113+'Página12'!C114</f>
        <v>3545895.28</v>
      </c>
      <c r="D114" s="48">
        <f>D113+'Página12'!D114</f>
        <v>3721475.31</v>
      </c>
      <c r="E114" s="48">
        <f>E113+'Página12'!E114</f>
        <v>3545895.28</v>
      </c>
      <c r="F114" s="48">
        <f>F113+'Página12'!F114</f>
        <v>3368600.52</v>
      </c>
      <c r="G114" s="48">
        <f>G113+'Página12'!G114</f>
        <v>2960240.91</v>
      </c>
      <c r="H114" s="48">
        <f>H113+'Página12'!H114</f>
        <v>2328552.12</v>
      </c>
      <c r="I114" s="48">
        <f>I113+'Página12'!I114</f>
        <v>2477182.32</v>
      </c>
      <c r="J114" s="48">
        <f>J113+'Página12'!J114</f>
        <v>2328552.12</v>
      </c>
      <c r="K114" s="48">
        <f>K113+'Página12'!K114</f>
        <v>2220230.8</v>
      </c>
    </row>
    <row r="115">
      <c r="A115" s="34">
        <v>45809.0</v>
      </c>
      <c r="B115" s="48">
        <f>B114+'Página12'!B115</f>
        <v>4434578.01</v>
      </c>
      <c r="C115" s="48">
        <f>C114+'Página12'!C115</f>
        <v>3580722.75</v>
      </c>
      <c r="D115" s="48">
        <f>D114+'Página12'!D115</f>
        <v>3757536.26</v>
      </c>
      <c r="E115" s="48">
        <f>E114+'Página12'!E115</f>
        <v>3580722.75</v>
      </c>
      <c r="F115" s="48">
        <f>F114+'Página12'!F115</f>
        <v>3401686.62</v>
      </c>
      <c r="G115" s="48">
        <f>G114+'Página12'!G115</f>
        <v>2991188.12</v>
      </c>
      <c r="H115" s="48">
        <f>H114+'Página12'!H115</f>
        <v>2350736.83</v>
      </c>
      <c r="I115" s="48">
        <f>I114+'Página12'!I115</f>
        <v>2500959.21</v>
      </c>
      <c r="J115" s="48">
        <f>J114+'Página12'!J115</f>
        <v>2350736.83</v>
      </c>
      <c r="K115" s="48">
        <f>K114+'Página12'!K115</f>
        <v>2241392.88</v>
      </c>
    </row>
    <row r="116">
      <c r="A116" s="34">
        <v>45839.0</v>
      </c>
      <c r="B116" s="48">
        <f>B115+'Página12'!B116</f>
        <v>4480529.08</v>
      </c>
      <c r="C116" s="48">
        <f>C115+'Página12'!C116</f>
        <v>3615550.22</v>
      </c>
      <c r="D116" s="48">
        <f>D115+'Página12'!D116</f>
        <v>3793597.21</v>
      </c>
      <c r="E116" s="48">
        <f>E115+'Página12'!E116</f>
        <v>3615550.22</v>
      </c>
      <c r="F116" s="48">
        <f>F115+'Página12'!F116</f>
        <v>3434772.72</v>
      </c>
      <c r="G116" s="48">
        <f>G115+'Página12'!G116</f>
        <v>3022135.33</v>
      </c>
      <c r="H116" s="48">
        <f>H115+'Página12'!H116</f>
        <v>2372921.54</v>
      </c>
      <c r="I116" s="48">
        <f>I115+'Página12'!I116</f>
        <v>2524736.1</v>
      </c>
      <c r="J116" s="48">
        <f>J115+'Página12'!J116</f>
        <v>2372921.54</v>
      </c>
      <c r="K116" s="48">
        <f>K115+'Página12'!K116</f>
        <v>2262554.96</v>
      </c>
    </row>
    <row r="117">
      <c r="A117" s="34">
        <v>45870.0</v>
      </c>
      <c r="B117" s="48">
        <f>B116+'Página12'!B117</f>
        <v>4526480.15</v>
      </c>
      <c r="C117" s="48">
        <f>C116+'Página12'!C117</f>
        <v>3650377.69</v>
      </c>
      <c r="D117" s="48">
        <f>D116+'Página12'!D117</f>
        <v>3829658.16</v>
      </c>
      <c r="E117" s="48">
        <f>E116+'Página12'!E117</f>
        <v>3650377.69</v>
      </c>
      <c r="F117" s="48">
        <f>F116+'Página12'!F117</f>
        <v>3467858.82</v>
      </c>
      <c r="G117" s="48">
        <f>G116+'Página12'!G117</f>
        <v>3053082.54</v>
      </c>
      <c r="H117" s="48">
        <f>H116+'Página12'!H117</f>
        <v>2395106.25</v>
      </c>
      <c r="I117" s="48">
        <f>I116+'Página12'!I117</f>
        <v>2548512.99</v>
      </c>
      <c r="J117" s="48">
        <f>J116+'Página12'!J117</f>
        <v>2395106.25</v>
      </c>
      <c r="K117" s="48">
        <f>K116+'Página12'!K117</f>
        <v>2283717.04</v>
      </c>
    </row>
    <row r="118">
      <c r="A118" s="34">
        <v>45901.0</v>
      </c>
      <c r="B118" s="48">
        <f>B117+'Página12'!B118</f>
        <v>4572431.22</v>
      </c>
      <c r="C118" s="48">
        <f>C117+'Página12'!C118</f>
        <v>3685205.16</v>
      </c>
      <c r="D118" s="48">
        <f>D117+'Página12'!D118</f>
        <v>3865719.11</v>
      </c>
      <c r="E118" s="48">
        <f>E117+'Página12'!E118</f>
        <v>3685205.16</v>
      </c>
      <c r="F118" s="48">
        <f>F117+'Página12'!F118</f>
        <v>3500944.92</v>
      </c>
      <c r="G118" s="48">
        <f>G117+'Página12'!G118</f>
        <v>3084029.75</v>
      </c>
      <c r="H118" s="48">
        <f>H117+'Página12'!H118</f>
        <v>2417290.96</v>
      </c>
      <c r="I118" s="48">
        <f>I117+'Página12'!I118</f>
        <v>2572289.88</v>
      </c>
      <c r="J118" s="48">
        <f>J117+'Página12'!J118</f>
        <v>2417290.96</v>
      </c>
      <c r="K118" s="48">
        <f>K117+'Página12'!K118</f>
        <v>2304879.12</v>
      </c>
    </row>
    <row r="119">
      <c r="A119" s="34">
        <v>45931.0</v>
      </c>
      <c r="B119" s="48">
        <f>B118+'Página12'!B119</f>
        <v>4618382.29</v>
      </c>
      <c r="C119" s="48">
        <f>C118+'Página12'!C119</f>
        <v>3720032.63</v>
      </c>
      <c r="D119" s="48">
        <f>D118+'Página12'!D119</f>
        <v>3901780.06</v>
      </c>
      <c r="E119" s="48">
        <f>E118+'Página12'!E119</f>
        <v>3720032.63</v>
      </c>
      <c r="F119" s="48">
        <f>F118+'Página12'!F119</f>
        <v>3534031.02</v>
      </c>
      <c r="G119" s="48">
        <f>G118+'Página12'!G119</f>
        <v>3114976.96</v>
      </c>
      <c r="H119" s="48">
        <f>H118+'Página12'!H119</f>
        <v>2439475.67</v>
      </c>
      <c r="I119" s="48">
        <f>I118+'Página12'!I119</f>
        <v>2596066.77</v>
      </c>
      <c r="J119" s="48">
        <f>J118+'Página12'!J119</f>
        <v>2439475.67</v>
      </c>
      <c r="K119" s="48">
        <f>K118+'Página12'!K119</f>
        <v>2326041.2</v>
      </c>
    </row>
    <row r="120">
      <c r="A120" s="34">
        <v>45962.0</v>
      </c>
      <c r="B120" s="48">
        <f>B119+'Página12'!B120</f>
        <v>4664333.36</v>
      </c>
      <c r="C120" s="48">
        <f>C119+'Página12'!C120</f>
        <v>3754860.1</v>
      </c>
      <c r="D120" s="48">
        <f>D119+'Página12'!D120</f>
        <v>3937841.01</v>
      </c>
      <c r="E120" s="48">
        <f>E119+'Página12'!E120</f>
        <v>3754860.1</v>
      </c>
      <c r="F120" s="48">
        <f>F119+'Página12'!F120</f>
        <v>3567117.12</v>
      </c>
      <c r="G120" s="48">
        <f>G119+'Página12'!G120</f>
        <v>3145924.17</v>
      </c>
      <c r="H120" s="48">
        <f>H119+'Página12'!H120</f>
        <v>2461660.38</v>
      </c>
      <c r="I120" s="48">
        <f>I119+'Página12'!I120</f>
        <v>2619843.66</v>
      </c>
      <c r="J120" s="48">
        <f>J119+'Página12'!J120</f>
        <v>2461660.38</v>
      </c>
      <c r="K120" s="48">
        <f>K119+'Página12'!K120</f>
        <v>2347203.28</v>
      </c>
    </row>
    <row r="121">
      <c r="A121" s="34">
        <v>45992.0</v>
      </c>
      <c r="B121" s="48">
        <f>B120+'Página12'!B121</f>
        <v>4771537.21</v>
      </c>
      <c r="C121" s="48">
        <f>C120+'Página12'!C121</f>
        <v>3836112.6</v>
      </c>
      <c r="D121" s="48">
        <f>D120+'Página12'!D121</f>
        <v>4021971.21</v>
      </c>
      <c r="E121" s="48">
        <f>E120+'Página12'!E121</f>
        <v>3836112.6</v>
      </c>
      <c r="F121" s="48">
        <f>F120+'Página12'!F121</f>
        <v>3644306.99</v>
      </c>
      <c r="G121" s="48">
        <f>G120+'Página12'!G121</f>
        <v>3218124.02</v>
      </c>
      <c r="H121" s="48">
        <f>H120+'Página12'!H121</f>
        <v>2513417.3</v>
      </c>
      <c r="I121" s="48">
        <f>I120+'Página12'!I121</f>
        <v>2675315.15</v>
      </c>
      <c r="J121" s="48">
        <f>J120+'Página12'!J121</f>
        <v>2513417.3</v>
      </c>
      <c r="K121" s="48">
        <f>K120+'Página12'!K121</f>
        <v>2396574.42</v>
      </c>
    </row>
    <row r="122">
      <c r="A122" s="34">
        <v>46023.0</v>
      </c>
      <c r="B122" s="48">
        <f>B121+'Página12'!B122</f>
        <v>4817488.28</v>
      </c>
      <c r="C122" s="48">
        <f>C121+'Página12'!C122</f>
        <v>3870940.07</v>
      </c>
      <c r="D122" s="48">
        <f>D121+'Página12'!D122</f>
        <v>4058032.16</v>
      </c>
      <c r="E122" s="48">
        <f>E121+'Página12'!E122</f>
        <v>3870940.07</v>
      </c>
      <c r="F122" s="48">
        <f>F121+'Página12'!F122</f>
        <v>3677393.09</v>
      </c>
      <c r="G122" s="48">
        <f>G121+'Página12'!G122</f>
        <v>3249071.23</v>
      </c>
      <c r="H122" s="48">
        <f>H121+'Página12'!H122</f>
        <v>2535602.01</v>
      </c>
      <c r="I122" s="48">
        <f>I121+'Página12'!I122</f>
        <v>2699092.04</v>
      </c>
      <c r="J122" s="48">
        <f>J121+'Página12'!J122</f>
        <v>2535602.01</v>
      </c>
      <c r="K122" s="48">
        <f>K121+'Página12'!K122</f>
        <v>2417736.5</v>
      </c>
    </row>
    <row r="123">
      <c r="A123" s="34">
        <v>46054.0</v>
      </c>
      <c r="B123" s="48">
        <f>B122+'Página12'!B123</f>
        <v>4863439.35</v>
      </c>
      <c r="C123" s="48">
        <f>C122+'Página12'!C123</f>
        <v>3905767.54</v>
      </c>
      <c r="D123" s="48">
        <f>D122+'Página12'!D123</f>
        <v>4094093.11</v>
      </c>
      <c r="E123" s="48">
        <f>E122+'Página12'!E123</f>
        <v>3905767.54</v>
      </c>
      <c r="F123" s="48">
        <f>F122+'Página12'!F123</f>
        <v>3710479.19</v>
      </c>
      <c r="G123" s="48">
        <f>G122+'Página12'!G123</f>
        <v>3280018.44</v>
      </c>
      <c r="H123" s="48">
        <f>H122+'Página12'!H123</f>
        <v>2557786.72</v>
      </c>
      <c r="I123" s="48">
        <f>I122+'Página12'!I123</f>
        <v>2722868.93</v>
      </c>
      <c r="J123" s="48">
        <f>J122+'Página12'!J123</f>
        <v>2557786.72</v>
      </c>
      <c r="K123" s="48">
        <f>K122+'Página12'!K123</f>
        <v>2438898.58</v>
      </c>
    </row>
    <row r="124">
      <c r="A124" s="34">
        <v>46082.0</v>
      </c>
      <c r="B124" s="48">
        <f>B123+'Página12'!B124</f>
        <v>4909390.42</v>
      </c>
      <c r="C124" s="48">
        <f>C123+'Página12'!C124</f>
        <v>3940595.01</v>
      </c>
      <c r="D124" s="48">
        <f>D123+'Página12'!D124</f>
        <v>4130154.06</v>
      </c>
      <c r="E124" s="48">
        <f>E123+'Página12'!E124</f>
        <v>3940595.01</v>
      </c>
      <c r="F124" s="48">
        <f>F123+'Página12'!F124</f>
        <v>3743565.29</v>
      </c>
      <c r="G124" s="48">
        <f>G123+'Página12'!G124</f>
        <v>3310965.65</v>
      </c>
      <c r="H124" s="48">
        <f>H123+'Página12'!H124</f>
        <v>2579971.43</v>
      </c>
      <c r="I124" s="48">
        <f>I123+'Página12'!I124</f>
        <v>2746645.82</v>
      </c>
      <c r="J124" s="48">
        <f>J123+'Página12'!J124</f>
        <v>2579971.43</v>
      </c>
      <c r="K124" s="48">
        <f>K123+'Página12'!K124</f>
        <v>2460060.66</v>
      </c>
    </row>
    <row r="125">
      <c r="A125" s="34">
        <v>46113.0</v>
      </c>
      <c r="B125" s="48">
        <f>B124+'Página12'!B125</f>
        <v>4955341.49</v>
      </c>
      <c r="C125" s="48">
        <f>C124+'Página12'!C125</f>
        <v>3979220.27</v>
      </c>
      <c r="D125" s="48">
        <f>D124+'Página12'!D125</f>
        <v>4170265.01</v>
      </c>
      <c r="E125" s="48">
        <f>E124+'Página12'!E125</f>
        <v>3979220.27</v>
      </c>
      <c r="F125" s="48">
        <f>F124+'Página12'!F125</f>
        <v>3780259.29</v>
      </c>
      <c r="G125" s="48">
        <f>G124+'Página12'!G125</f>
        <v>3341912.86</v>
      </c>
      <c r="H125" s="48">
        <f>H124+'Página12'!H125</f>
        <v>2604386.39</v>
      </c>
      <c r="I125" s="48">
        <f>I124+'Página12'!I125</f>
        <v>2773358.96</v>
      </c>
      <c r="J125" s="48">
        <f>J124+'Página12'!J125</f>
        <v>2604386.39</v>
      </c>
      <c r="K125" s="48">
        <f>K124+'Página12'!K125</f>
        <v>2483341.48</v>
      </c>
    </row>
    <row r="126">
      <c r="A126" s="34">
        <v>46143.0</v>
      </c>
      <c r="B126" s="48">
        <f>B125+'Página12'!B126</f>
        <v>5001292.56</v>
      </c>
      <c r="C126" s="48">
        <f>C125+'Página12'!C126</f>
        <v>4017845.53</v>
      </c>
      <c r="D126" s="48">
        <f>D125+'Página12'!D126</f>
        <v>4210375.96</v>
      </c>
      <c r="E126" s="48">
        <f>E125+'Página12'!E126</f>
        <v>4017845.53</v>
      </c>
      <c r="F126" s="48">
        <f>F125+'Página12'!F126</f>
        <v>3816953.29</v>
      </c>
      <c r="G126" s="48">
        <f>G125+'Página12'!G126</f>
        <v>3372860.07</v>
      </c>
      <c r="H126" s="48">
        <f>H125+'Página12'!H126</f>
        <v>2628801.35</v>
      </c>
      <c r="I126" s="48">
        <f>I125+'Página12'!I126</f>
        <v>2800072.1</v>
      </c>
      <c r="J126" s="48">
        <f>J125+'Página12'!J126</f>
        <v>2628801.35</v>
      </c>
      <c r="K126" s="48">
        <f>K125+'Página12'!K126</f>
        <v>2506622.3</v>
      </c>
    </row>
    <row r="127">
      <c r="A127" s="34">
        <v>46174.0</v>
      </c>
      <c r="B127" s="48">
        <f>B126+'Página12'!B127</f>
        <v>5047243.63</v>
      </c>
      <c r="C127" s="48">
        <f>C126+'Página12'!C127</f>
        <v>4056470.79</v>
      </c>
      <c r="D127" s="48">
        <f>D126+'Página12'!D127</f>
        <v>4250486.91</v>
      </c>
      <c r="E127" s="48">
        <f>E126+'Página12'!E127</f>
        <v>4056470.79</v>
      </c>
      <c r="F127" s="48">
        <f>F126+'Página12'!F127</f>
        <v>3853647.29</v>
      </c>
      <c r="G127" s="48">
        <f>G126+'Página12'!G127</f>
        <v>3403807.28</v>
      </c>
      <c r="H127" s="48">
        <f>H126+'Página12'!H127</f>
        <v>2653216.31</v>
      </c>
      <c r="I127" s="48">
        <f>I126+'Página12'!I127</f>
        <v>2826785.24</v>
      </c>
      <c r="J127" s="48">
        <f>J126+'Página12'!J127</f>
        <v>2653216.31</v>
      </c>
      <c r="K127" s="48">
        <f>K126+'Página12'!K127</f>
        <v>2529903.12</v>
      </c>
    </row>
    <row r="128">
      <c r="A128" s="34">
        <v>46204.0</v>
      </c>
      <c r="B128" s="48">
        <f>B127+'Página12'!B128</f>
        <v>5093194.7</v>
      </c>
      <c r="C128" s="48">
        <f>C127+'Página12'!C128</f>
        <v>4095096.05</v>
      </c>
      <c r="D128" s="48">
        <f>D127+'Página12'!D128</f>
        <v>4290597.86</v>
      </c>
      <c r="E128" s="48">
        <f>E127+'Página12'!E128</f>
        <v>4095096.05</v>
      </c>
      <c r="F128" s="48">
        <f>F127+'Página12'!F128</f>
        <v>3890341.29</v>
      </c>
      <c r="G128" s="48">
        <f>G127+'Página12'!G128</f>
        <v>3434754.49</v>
      </c>
      <c r="H128" s="48">
        <f>H127+'Página12'!H128</f>
        <v>2677631.27</v>
      </c>
      <c r="I128" s="48">
        <f>I127+'Página12'!I128</f>
        <v>2853498.38</v>
      </c>
      <c r="J128" s="48">
        <f>J127+'Página12'!J128</f>
        <v>2677631.27</v>
      </c>
      <c r="K128" s="48">
        <f>K127+'Página12'!K128</f>
        <v>2553183.94</v>
      </c>
    </row>
    <row r="129">
      <c r="A129" s="34">
        <v>46235.0</v>
      </c>
      <c r="B129" s="48">
        <f>B128+'Página12'!B129</f>
        <v>5139145.77</v>
      </c>
      <c r="C129" s="48">
        <f>C128+'Página12'!C129</f>
        <v>4133721.31</v>
      </c>
      <c r="D129" s="48">
        <f>D128+'Página12'!D129</f>
        <v>4330708.81</v>
      </c>
      <c r="E129" s="48">
        <f>E128+'Página12'!E129</f>
        <v>4133721.31</v>
      </c>
      <c r="F129" s="48">
        <f>F128+'Página12'!F129</f>
        <v>3927035.29</v>
      </c>
      <c r="G129" s="48">
        <f>G128+'Página12'!G129</f>
        <v>3465701.7</v>
      </c>
      <c r="H129" s="48">
        <f>H128+'Página12'!H129</f>
        <v>2702046.23</v>
      </c>
      <c r="I129" s="48">
        <f>I128+'Página12'!I129</f>
        <v>2880211.52</v>
      </c>
      <c r="J129" s="48">
        <f>J128+'Página12'!J129</f>
        <v>2702046.23</v>
      </c>
      <c r="K129" s="48">
        <f>K128+'Página12'!K129</f>
        <v>2576464.76</v>
      </c>
    </row>
    <row r="130">
      <c r="A130" s="34">
        <v>46266.0</v>
      </c>
      <c r="B130" s="48">
        <f>B129+'Página12'!B130</f>
        <v>5185096.84</v>
      </c>
      <c r="C130" s="48">
        <f>C129+'Página12'!C130</f>
        <v>4172346.57</v>
      </c>
      <c r="D130" s="48">
        <f>D129+'Página12'!D130</f>
        <v>4370819.76</v>
      </c>
      <c r="E130" s="48">
        <f>E129+'Página12'!E130</f>
        <v>4172346.57</v>
      </c>
      <c r="F130" s="48">
        <f>F129+'Página12'!F130</f>
        <v>3963729.29</v>
      </c>
      <c r="G130" s="48">
        <f>G129+'Página12'!G130</f>
        <v>3496648.91</v>
      </c>
      <c r="H130" s="48">
        <f>H129+'Página12'!H130</f>
        <v>2726461.19</v>
      </c>
      <c r="I130" s="48">
        <f>I129+'Página12'!I130</f>
        <v>2906924.66</v>
      </c>
      <c r="J130" s="48">
        <f>J129+'Página12'!J130</f>
        <v>2726461.19</v>
      </c>
      <c r="K130" s="48">
        <f>K129+'Página12'!K130</f>
        <v>2599745.58</v>
      </c>
    </row>
    <row r="131">
      <c r="A131" s="34">
        <v>46296.0</v>
      </c>
      <c r="B131" s="48">
        <f>B130+'Página12'!B131</f>
        <v>5231047.91</v>
      </c>
      <c r="C131" s="48">
        <f>C130+'Página12'!C131</f>
        <v>4210971.83</v>
      </c>
      <c r="D131" s="48">
        <f>D130+'Página12'!D131</f>
        <v>4410930.71</v>
      </c>
      <c r="E131" s="48">
        <f>E130+'Página12'!E131</f>
        <v>4210971.83</v>
      </c>
      <c r="F131" s="48">
        <f>F130+'Página12'!F131</f>
        <v>4000423.29</v>
      </c>
      <c r="G131" s="48">
        <f>G130+'Página12'!G131</f>
        <v>3527596.12</v>
      </c>
      <c r="H131" s="48">
        <f>H130+'Página12'!H131</f>
        <v>2750876.15</v>
      </c>
      <c r="I131" s="48">
        <f>I130+'Página12'!I131</f>
        <v>2933637.8</v>
      </c>
      <c r="J131" s="48">
        <f>J130+'Página12'!J131</f>
        <v>2750876.15</v>
      </c>
      <c r="K131" s="48">
        <f>K130+'Página12'!K131</f>
        <v>2623026.4</v>
      </c>
    </row>
    <row r="132">
      <c r="A132" s="34">
        <v>46327.0</v>
      </c>
      <c r="B132" s="48">
        <f>B131+'Página12'!B132</f>
        <v>5276998.98</v>
      </c>
      <c r="C132" s="48">
        <f>C131+'Página12'!C132</f>
        <v>4249597.09</v>
      </c>
      <c r="D132" s="48">
        <f>D131+'Página12'!D132</f>
        <v>4451041.66</v>
      </c>
      <c r="E132" s="48">
        <f>E131+'Página12'!E132</f>
        <v>4249597.09</v>
      </c>
      <c r="F132" s="48">
        <f>F131+'Página12'!F132</f>
        <v>4037117.29</v>
      </c>
      <c r="G132" s="48">
        <f>G131+'Página12'!G132</f>
        <v>3558543.33</v>
      </c>
      <c r="H132" s="48">
        <f>H131+'Página12'!H132</f>
        <v>2775291.11</v>
      </c>
      <c r="I132" s="48">
        <f>I131+'Página12'!I132</f>
        <v>2960350.94</v>
      </c>
      <c r="J132" s="48">
        <f>J131+'Página12'!J132</f>
        <v>2775291.11</v>
      </c>
      <c r="K132" s="48">
        <f>K131+'Página12'!K132</f>
        <v>2646307.22</v>
      </c>
    </row>
    <row r="133">
      <c r="A133" s="34">
        <v>46357.0</v>
      </c>
      <c r="B133" s="48">
        <f>B132+'Página12'!B133</f>
        <v>5384202.83</v>
      </c>
      <c r="C133" s="48">
        <f>C132+'Página12'!C133</f>
        <v>4339709.83</v>
      </c>
      <c r="D133" s="48">
        <f>D132+'Página12'!D133</f>
        <v>4544620.51</v>
      </c>
      <c r="E133" s="48">
        <f>E132+'Página12'!E133</f>
        <v>4339709.83</v>
      </c>
      <c r="F133" s="48">
        <f>F132+'Página12'!F133</f>
        <v>4122724.39</v>
      </c>
      <c r="G133" s="48">
        <f>G132+'Página12'!G133</f>
        <v>3630743.18</v>
      </c>
      <c r="H133" s="48">
        <f>H132+'Página12'!H133</f>
        <v>2832251.21</v>
      </c>
      <c r="I133" s="48">
        <f>I132+'Página12'!I133</f>
        <v>3022672.7</v>
      </c>
      <c r="J133" s="48">
        <f>J132+'Página12'!J133</f>
        <v>2832251.21</v>
      </c>
      <c r="K133" s="48">
        <f>K132+'Página12'!K133</f>
        <v>2700621.38</v>
      </c>
    </row>
    <row r="134">
      <c r="A134" s="34">
        <v>46388.0</v>
      </c>
      <c r="B134" s="48">
        <f>B133+'Página12'!B134</f>
        <v>5430153.9</v>
      </c>
      <c r="C134" s="48">
        <f>C133+'Página12'!C134</f>
        <v>4378335.09</v>
      </c>
      <c r="D134" s="48">
        <f>D133+'Página12'!D134</f>
        <v>4584731.46</v>
      </c>
      <c r="E134" s="48">
        <f>E133+'Página12'!E134</f>
        <v>4378335.09</v>
      </c>
      <c r="F134" s="48">
        <f>F133+'Página12'!F134</f>
        <v>4159418.39</v>
      </c>
      <c r="G134" s="48">
        <f>G133+'Página12'!G134</f>
        <v>3661690.39</v>
      </c>
      <c r="H134" s="48">
        <f>H133+'Página12'!H134</f>
        <v>2856666.17</v>
      </c>
      <c r="I134" s="48">
        <f>I133+'Página12'!I134</f>
        <v>3049385.84</v>
      </c>
      <c r="J134" s="48">
        <f>J133+'Página12'!J134</f>
        <v>2856666.17</v>
      </c>
      <c r="K134" s="48">
        <f>K133+'Página12'!K134</f>
        <v>2723902.2</v>
      </c>
    </row>
    <row r="135">
      <c r="A135" s="34">
        <v>46419.0</v>
      </c>
      <c r="B135" s="48">
        <f>B134+'Página12'!B135</f>
        <v>5476104.97</v>
      </c>
      <c r="C135" s="48">
        <f>C134+'Página12'!C135</f>
        <v>4416960.35</v>
      </c>
      <c r="D135" s="48">
        <f>D134+'Página12'!D135</f>
        <v>4625204.66</v>
      </c>
      <c r="E135" s="48">
        <f>E134+'Página12'!E135</f>
        <v>4416960.35</v>
      </c>
      <c r="F135" s="48">
        <f>F134+'Página12'!F135</f>
        <v>4196112.39</v>
      </c>
      <c r="G135" s="48">
        <f>G134+'Página12'!G135</f>
        <v>3692637.6</v>
      </c>
      <c r="H135" s="48">
        <f>H134+'Página12'!H135</f>
        <v>2881081.13</v>
      </c>
      <c r="I135" s="48">
        <f>I134+'Página12'!I135</f>
        <v>3076361.61</v>
      </c>
      <c r="J135" s="48">
        <f>J134+'Página12'!J135</f>
        <v>2881081.13</v>
      </c>
      <c r="K135" s="48">
        <f>K134+'Página12'!K135</f>
        <v>2747183.02</v>
      </c>
    </row>
    <row r="136">
      <c r="A136" s="34">
        <v>46447.0</v>
      </c>
      <c r="B136" s="48">
        <f>B135+'Página12'!B136</f>
        <v>5522056.04</v>
      </c>
      <c r="C136" s="48">
        <f>C135+'Página12'!C136</f>
        <v>4455585.61</v>
      </c>
      <c r="D136" s="48">
        <f>D135+'Página12'!D136</f>
        <v>4665677.86</v>
      </c>
      <c r="E136" s="48">
        <f>E135+'Página12'!E136</f>
        <v>4455585.61</v>
      </c>
      <c r="F136" s="48">
        <f>F135+'Página12'!F136</f>
        <v>4232806.39</v>
      </c>
      <c r="G136" s="48">
        <f>G135+'Página12'!G136</f>
        <v>3723584.81</v>
      </c>
      <c r="H136" s="48">
        <f>H135+'Página12'!H136</f>
        <v>2905496.09</v>
      </c>
      <c r="I136" s="48">
        <f>I135+'Página12'!I136</f>
        <v>3103337.38</v>
      </c>
      <c r="J136" s="48">
        <f>J135+'Página12'!J136</f>
        <v>2905496.09</v>
      </c>
      <c r="K136" s="48">
        <f>K135+'Página12'!K136</f>
        <v>2770463.84</v>
      </c>
    </row>
    <row r="137">
      <c r="A137" s="34">
        <v>46478.0</v>
      </c>
      <c r="B137" s="48">
        <f>B136+'Página12'!B137</f>
        <v>5568007.11</v>
      </c>
      <c r="C137" s="48">
        <f>C136+'Página12'!C137</f>
        <v>4494210.87</v>
      </c>
      <c r="D137" s="48">
        <f>D136+'Página12'!D137</f>
        <v>4706151.06</v>
      </c>
      <c r="E137" s="48">
        <f>E136+'Página12'!E137</f>
        <v>4494210.87</v>
      </c>
      <c r="F137" s="48">
        <f>F136+'Página12'!F137</f>
        <v>4269500.39</v>
      </c>
      <c r="G137" s="48">
        <f>G136+'Página12'!G137</f>
        <v>3754532.02</v>
      </c>
      <c r="H137" s="48">
        <f>H136+'Página12'!H137</f>
        <v>2929911.05</v>
      </c>
      <c r="I137" s="48">
        <f>I136+'Página12'!I137</f>
        <v>3130313.15</v>
      </c>
      <c r="J137" s="48">
        <f>J136+'Página12'!J137</f>
        <v>2929911.05</v>
      </c>
      <c r="K137" s="48">
        <f>K136+'Página12'!K137</f>
        <v>2793744.66</v>
      </c>
    </row>
    <row r="138">
      <c r="A138" s="34">
        <v>46508.0</v>
      </c>
      <c r="B138" s="48">
        <f>B137+'Página12'!B138</f>
        <v>5613958.18</v>
      </c>
      <c r="C138" s="48">
        <f>C137+'Página12'!C138</f>
        <v>4532836.13</v>
      </c>
      <c r="D138" s="48">
        <f>D137+'Página12'!D138</f>
        <v>4746624.26</v>
      </c>
      <c r="E138" s="48">
        <f>E137+'Página12'!E138</f>
        <v>4532836.13</v>
      </c>
      <c r="F138" s="48">
        <f>F137+'Página12'!F138</f>
        <v>4306194.39</v>
      </c>
      <c r="G138" s="48">
        <f>G137+'Página12'!G138</f>
        <v>3785479.23</v>
      </c>
      <c r="H138" s="48">
        <f>H137+'Página12'!H138</f>
        <v>2954326.01</v>
      </c>
      <c r="I138" s="48">
        <f>I137+'Página12'!I138</f>
        <v>3157288.92</v>
      </c>
      <c r="J138" s="48">
        <f>J137+'Página12'!J138</f>
        <v>2954326.01</v>
      </c>
      <c r="K138" s="48">
        <f>K137+'Página12'!K138</f>
        <v>2817025.48</v>
      </c>
    </row>
    <row r="139">
      <c r="A139" s="34">
        <v>46539.0</v>
      </c>
      <c r="B139" s="48">
        <f>B138+'Página12'!B139</f>
        <v>5659909.25</v>
      </c>
      <c r="C139" s="48">
        <f>C138+'Página12'!C139</f>
        <v>4571461.39</v>
      </c>
      <c r="D139" s="48">
        <f>D138+'Página12'!D139</f>
        <v>4787097.46</v>
      </c>
      <c r="E139" s="48">
        <f>E138+'Página12'!E139</f>
        <v>4571461.39</v>
      </c>
      <c r="F139" s="48">
        <f>F138+'Página12'!F139</f>
        <v>4342888.39</v>
      </c>
      <c r="G139" s="48">
        <f>G138+'Página12'!G139</f>
        <v>3816426.44</v>
      </c>
      <c r="H139" s="48">
        <f>H138+'Página12'!H139</f>
        <v>2978740.97</v>
      </c>
      <c r="I139" s="48">
        <f>I138+'Página12'!I139</f>
        <v>3184264.69</v>
      </c>
      <c r="J139" s="48">
        <f>J138+'Página12'!J139</f>
        <v>2978740.97</v>
      </c>
      <c r="K139" s="48">
        <f>K138+'Página12'!K139</f>
        <v>2840306.3</v>
      </c>
    </row>
    <row r="140">
      <c r="A140" s="34">
        <v>46569.0</v>
      </c>
      <c r="B140" s="48">
        <f>B139+'Página12'!B140</f>
        <v>5705860.32</v>
      </c>
      <c r="C140" s="48">
        <f>C139+'Página12'!C140</f>
        <v>4610086.65</v>
      </c>
      <c r="D140" s="48">
        <f>D139+'Página12'!D140</f>
        <v>4827570.66</v>
      </c>
      <c r="E140" s="48">
        <f>E139+'Página12'!E140</f>
        <v>4610086.65</v>
      </c>
      <c r="F140" s="48">
        <f>F139+'Página12'!F140</f>
        <v>4379582.39</v>
      </c>
      <c r="G140" s="48">
        <f>G139+'Página12'!G140</f>
        <v>3847373.65</v>
      </c>
      <c r="H140" s="48">
        <f>H139+'Página12'!H140</f>
        <v>3003155.93</v>
      </c>
      <c r="I140" s="48">
        <f>I139+'Página12'!I140</f>
        <v>3211240.46</v>
      </c>
      <c r="J140" s="48">
        <f>J139+'Página12'!J140</f>
        <v>3003155.93</v>
      </c>
      <c r="K140" s="48">
        <f>K139+'Página12'!K140</f>
        <v>2863587.12</v>
      </c>
    </row>
    <row r="141">
      <c r="A141" s="34">
        <v>46600.0</v>
      </c>
      <c r="B141" s="48">
        <f>B140+'Página12'!B141</f>
        <v>5751811.39</v>
      </c>
      <c r="C141" s="48">
        <f>C140+'Página12'!C141</f>
        <v>4648711.91</v>
      </c>
      <c r="D141" s="48">
        <f>D140+'Página12'!D141</f>
        <v>4868043.86</v>
      </c>
      <c r="E141" s="48">
        <f>E140+'Página12'!E141</f>
        <v>4648711.91</v>
      </c>
      <c r="F141" s="48">
        <f>F140+'Página12'!F141</f>
        <v>4416276.39</v>
      </c>
      <c r="G141" s="48">
        <f>G140+'Página12'!G141</f>
        <v>3878320.86</v>
      </c>
      <c r="H141" s="48">
        <f>H140+'Página12'!H141</f>
        <v>3027570.89</v>
      </c>
      <c r="I141" s="48">
        <f>I140+'Página12'!I141</f>
        <v>3238216.23</v>
      </c>
      <c r="J141" s="48">
        <f>J140+'Página12'!J141</f>
        <v>3027570.89</v>
      </c>
      <c r="K141" s="48">
        <f>K140+'Página12'!K141</f>
        <v>2886867.94</v>
      </c>
    </row>
    <row r="142">
      <c r="A142" s="34">
        <v>46631.0</v>
      </c>
      <c r="B142" s="48">
        <f>B141+'Página12'!B142</f>
        <v>5797762.46</v>
      </c>
      <c r="C142" s="48">
        <f>C141+'Página12'!C142</f>
        <v>4687337.17</v>
      </c>
      <c r="D142" s="48">
        <f>D141+'Página12'!D142</f>
        <v>4908517.06</v>
      </c>
      <c r="E142" s="48">
        <f>E141+'Página12'!E142</f>
        <v>4687337.17</v>
      </c>
      <c r="F142" s="48">
        <f>F141+'Página12'!F142</f>
        <v>4452970.39</v>
      </c>
      <c r="G142" s="48">
        <f>G141+'Página12'!G142</f>
        <v>3909268.07</v>
      </c>
      <c r="H142" s="48">
        <f>H141+'Página12'!H142</f>
        <v>3051985.85</v>
      </c>
      <c r="I142" s="48">
        <f>I141+'Página12'!I142</f>
        <v>3265192</v>
      </c>
      <c r="J142" s="48">
        <f>J141+'Página12'!J142</f>
        <v>3051985.85</v>
      </c>
      <c r="K142" s="48">
        <f>K141+'Página12'!K142</f>
        <v>2910148.76</v>
      </c>
    </row>
    <row r="143">
      <c r="A143" s="34">
        <v>46661.0</v>
      </c>
      <c r="B143" s="48">
        <f>B142+'Página12'!B143</f>
        <v>5843713.53</v>
      </c>
      <c r="C143" s="48">
        <f>C142+'Página12'!C143</f>
        <v>4725962.43</v>
      </c>
      <c r="D143" s="48">
        <f>D142+'Página12'!D143</f>
        <v>4948990.26</v>
      </c>
      <c r="E143" s="48">
        <f>E142+'Página12'!E143</f>
        <v>4725962.43</v>
      </c>
      <c r="F143" s="48">
        <f>F142+'Página12'!F143</f>
        <v>4489664.39</v>
      </c>
      <c r="G143" s="48">
        <f>G142+'Página12'!G143</f>
        <v>3940215.28</v>
      </c>
      <c r="H143" s="48">
        <f>H142+'Página12'!H143</f>
        <v>3076400.81</v>
      </c>
      <c r="I143" s="48">
        <f>I142+'Página12'!I143</f>
        <v>3292167.77</v>
      </c>
      <c r="J143" s="48">
        <f>J142+'Página12'!J143</f>
        <v>3076400.81</v>
      </c>
      <c r="K143" s="48">
        <f>K142+'Página12'!K143</f>
        <v>2933429.58</v>
      </c>
    </row>
    <row r="144">
      <c r="A144" s="34">
        <v>46692.0</v>
      </c>
      <c r="B144" s="48">
        <f>B143+'Página12'!B144</f>
        <v>5889664.6</v>
      </c>
      <c r="C144" s="48">
        <f>C143+'Página12'!C144</f>
        <v>4764587.69</v>
      </c>
      <c r="D144" s="48">
        <f>D143+'Página12'!D144</f>
        <v>4989463.46</v>
      </c>
      <c r="E144" s="48">
        <f>E143+'Página12'!E144</f>
        <v>4764587.69</v>
      </c>
      <c r="F144" s="48">
        <f>F143+'Página12'!F144</f>
        <v>4526358.39</v>
      </c>
      <c r="G144" s="48">
        <f>G143+'Página12'!G144</f>
        <v>3971162.49</v>
      </c>
      <c r="H144" s="48">
        <f>H143+'Página12'!H144</f>
        <v>3100815.77</v>
      </c>
      <c r="I144" s="48">
        <f>I143+'Página12'!I144</f>
        <v>3319143.54</v>
      </c>
      <c r="J144" s="48">
        <f>J143+'Página12'!J144</f>
        <v>3100815.77</v>
      </c>
      <c r="K144" s="48">
        <f>K143+'Página12'!K144</f>
        <v>2956710.4</v>
      </c>
    </row>
    <row r="145">
      <c r="A145" s="34">
        <v>46722.0</v>
      </c>
      <c r="B145" s="48">
        <f>B144+'Página12'!B145</f>
        <v>5996868.45</v>
      </c>
      <c r="C145" s="48">
        <f>C144+'Página12'!C145</f>
        <v>4854700.43</v>
      </c>
      <c r="D145" s="48">
        <f>D144+'Página12'!D145</f>
        <v>5083887.44</v>
      </c>
      <c r="E145" s="48">
        <f>E144+'Página12'!E145</f>
        <v>4854700.43</v>
      </c>
      <c r="F145" s="48">
        <f>F144+'Página12'!F145</f>
        <v>4611965.49</v>
      </c>
      <c r="G145" s="48">
        <f>G144+'Página12'!G145</f>
        <v>4043362.34</v>
      </c>
      <c r="H145" s="48">
        <f>H144+'Página12'!H145</f>
        <v>3157775.87</v>
      </c>
      <c r="I145" s="48">
        <f>I144+'Página12'!I145</f>
        <v>3382078.01</v>
      </c>
      <c r="J145" s="48">
        <f>J144+'Página12'!J145</f>
        <v>3157775.87</v>
      </c>
      <c r="K145" s="48">
        <f>K144+'Página12'!K145</f>
        <v>3011024.56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63"/>
    <col customWidth="1" min="2" max="3" width="11.38"/>
    <col customWidth="1" min="4" max="27" width="12.63"/>
    <col customWidth="1" min="28" max="145" width="14.63"/>
  </cols>
  <sheetData>
    <row r="1">
      <c r="A1" s="32" t="s">
        <v>9</v>
      </c>
      <c r="B1" s="34">
        <v>42370.0</v>
      </c>
      <c r="C1" s="34">
        <v>42401.0</v>
      </c>
      <c r="D1" s="34">
        <v>42430.0</v>
      </c>
      <c r="E1" s="34">
        <v>42461.0</v>
      </c>
      <c r="F1" s="34">
        <v>42491.0</v>
      </c>
      <c r="G1" s="34">
        <v>42522.0</v>
      </c>
      <c r="H1" s="34">
        <v>42552.0</v>
      </c>
      <c r="I1" s="34">
        <v>42583.0</v>
      </c>
      <c r="J1" s="34">
        <v>42614.0</v>
      </c>
      <c r="K1" s="34">
        <v>42644.0</v>
      </c>
      <c r="L1" s="34">
        <v>42675.0</v>
      </c>
      <c r="M1" s="34">
        <v>42705.0</v>
      </c>
      <c r="N1" s="34">
        <v>42736.0</v>
      </c>
      <c r="O1" s="34">
        <v>42767.0</v>
      </c>
      <c r="P1" s="34">
        <v>42795.0</v>
      </c>
      <c r="Q1" s="34">
        <v>42826.0</v>
      </c>
      <c r="R1" s="34">
        <v>42856.0</v>
      </c>
      <c r="S1" s="34">
        <v>42887.0</v>
      </c>
      <c r="T1" s="34">
        <v>42917.0</v>
      </c>
      <c r="U1" s="34">
        <v>42948.0</v>
      </c>
      <c r="V1" s="34">
        <v>42979.0</v>
      </c>
      <c r="W1" s="34">
        <v>43009.0</v>
      </c>
      <c r="X1" s="34">
        <v>43040.0</v>
      </c>
      <c r="Y1" s="34">
        <v>43070.0</v>
      </c>
      <c r="Z1" s="34">
        <v>43101.0</v>
      </c>
      <c r="AA1" s="34">
        <v>43132.0</v>
      </c>
      <c r="AB1" s="34">
        <v>43160.0</v>
      </c>
      <c r="AC1" s="34">
        <v>43191.0</v>
      </c>
      <c r="AD1" s="34">
        <v>43221.0</v>
      </c>
      <c r="AE1" s="34">
        <v>43252.0</v>
      </c>
      <c r="AF1" s="34">
        <v>43282.0</v>
      </c>
      <c r="AG1" s="34">
        <v>43313.0</v>
      </c>
      <c r="AH1" s="34">
        <v>43344.0</v>
      </c>
      <c r="AI1" s="34">
        <v>43374.0</v>
      </c>
      <c r="AJ1" s="34">
        <v>43405.0</v>
      </c>
      <c r="AK1" s="34">
        <v>43435.0</v>
      </c>
      <c r="AL1" s="34">
        <v>43466.0</v>
      </c>
      <c r="AM1" s="34">
        <v>43497.0</v>
      </c>
      <c r="AN1" s="34">
        <v>43525.0</v>
      </c>
      <c r="AO1" s="34">
        <v>43556.0</v>
      </c>
      <c r="AP1" s="34">
        <v>43586.0</v>
      </c>
      <c r="AQ1" s="34">
        <v>43617.0</v>
      </c>
      <c r="AR1" s="34">
        <v>43647.0</v>
      </c>
      <c r="AS1" s="34">
        <v>43678.0</v>
      </c>
      <c r="AT1" s="34">
        <v>43709.0</v>
      </c>
      <c r="AU1" s="34">
        <v>43739.0</v>
      </c>
      <c r="AV1" s="34">
        <v>43770.0</v>
      </c>
      <c r="AW1" s="34">
        <v>43800.0</v>
      </c>
      <c r="AX1" s="34">
        <v>43831.0</v>
      </c>
      <c r="AY1" s="34">
        <v>43862.0</v>
      </c>
      <c r="AZ1" s="34">
        <v>43891.0</v>
      </c>
      <c r="BA1" s="34">
        <v>43922.0</v>
      </c>
      <c r="BB1" s="34">
        <v>43952.0</v>
      </c>
      <c r="BC1" s="34">
        <v>43983.0</v>
      </c>
      <c r="BD1" s="34">
        <v>44013.0</v>
      </c>
      <c r="BE1" s="34">
        <v>44044.0</v>
      </c>
      <c r="BF1" s="34">
        <v>44075.0</v>
      </c>
      <c r="BG1" s="34">
        <v>44105.0</v>
      </c>
      <c r="BH1" s="34">
        <v>44136.0</v>
      </c>
      <c r="BI1" s="34">
        <v>44166.0</v>
      </c>
      <c r="BJ1" s="34">
        <v>44197.0</v>
      </c>
      <c r="BK1" s="34">
        <v>44228.0</v>
      </c>
      <c r="BL1" s="34">
        <v>44256.0</v>
      </c>
      <c r="BM1" s="34">
        <v>44287.0</v>
      </c>
      <c r="BN1" s="34">
        <v>44317.0</v>
      </c>
      <c r="BO1" s="34">
        <v>44348.0</v>
      </c>
      <c r="BP1" s="34">
        <v>44378.0</v>
      </c>
      <c r="BQ1" s="34">
        <v>44409.0</v>
      </c>
      <c r="BR1" s="34">
        <v>44440.0</v>
      </c>
      <c r="BS1" s="34">
        <v>44470.0</v>
      </c>
      <c r="BT1" s="34">
        <v>44501.0</v>
      </c>
      <c r="BU1" s="34">
        <v>44531.0</v>
      </c>
      <c r="BV1" s="34">
        <v>44562.0</v>
      </c>
      <c r="BW1" s="34">
        <v>44593.0</v>
      </c>
      <c r="BX1" s="34">
        <v>44621.0</v>
      </c>
      <c r="BY1" s="34">
        <v>44652.0</v>
      </c>
      <c r="BZ1" s="34">
        <v>44682.0</v>
      </c>
      <c r="CA1" s="34">
        <v>44713.0</v>
      </c>
      <c r="CB1" s="34">
        <v>44743.0</v>
      </c>
      <c r="CC1" s="34">
        <v>44774.0</v>
      </c>
      <c r="CD1" s="34">
        <v>44805.0</v>
      </c>
      <c r="CE1" s="34">
        <v>44835.0</v>
      </c>
      <c r="CF1" s="34">
        <v>44866.0</v>
      </c>
      <c r="CG1" s="34">
        <v>44896.0</v>
      </c>
      <c r="CH1" s="34">
        <v>44927.0</v>
      </c>
      <c r="CI1" s="34">
        <v>44958.0</v>
      </c>
      <c r="CJ1" s="34">
        <v>44986.0</v>
      </c>
      <c r="CK1" s="34">
        <v>45017.0</v>
      </c>
      <c r="CL1" s="34">
        <v>45047.0</v>
      </c>
      <c r="CM1" s="34">
        <v>45078.0</v>
      </c>
      <c r="CN1" s="34">
        <v>45108.0</v>
      </c>
      <c r="CO1" s="34">
        <v>45139.0</v>
      </c>
      <c r="CP1" s="34">
        <v>45170.0</v>
      </c>
      <c r="CQ1" s="34">
        <v>45200.0</v>
      </c>
      <c r="CR1" s="34">
        <v>45231.0</v>
      </c>
      <c r="CS1" s="34">
        <v>45261.0</v>
      </c>
      <c r="CT1" s="34">
        <v>45292.0</v>
      </c>
      <c r="CU1" s="34">
        <v>45323.0</v>
      </c>
      <c r="CV1" s="34">
        <v>45352.0</v>
      </c>
      <c r="CW1" s="34">
        <v>45383.0</v>
      </c>
      <c r="CX1" s="34">
        <v>45413.0</v>
      </c>
      <c r="CY1" s="34">
        <v>45444.0</v>
      </c>
      <c r="CZ1" s="34">
        <v>45474.0</v>
      </c>
      <c r="DA1" s="34">
        <v>45505.0</v>
      </c>
      <c r="DB1" s="34">
        <v>45536.0</v>
      </c>
      <c r="DC1" s="34">
        <v>45566.0</v>
      </c>
      <c r="DD1" s="34">
        <v>45597.0</v>
      </c>
      <c r="DE1" s="34">
        <v>45627.0</v>
      </c>
      <c r="DF1" s="34">
        <v>45658.0</v>
      </c>
      <c r="DG1" s="34">
        <v>45689.0</v>
      </c>
      <c r="DH1" s="34">
        <v>45717.0</v>
      </c>
      <c r="DI1" s="34">
        <v>45748.0</v>
      </c>
      <c r="DJ1" s="34">
        <v>45778.0</v>
      </c>
      <c r="DK1" s="34">
        <v>45809.0</v>
      </c>
      <c r="DL1" s="34">
        <v>45839.0</v>
      </c>
      <c r="DM1" s="34">
        <v>45870.0</v>
      </c>
      <c r="DN1" s="34">
        <v>45901.0</v>
      </c>
      <c r="DO1" s="34">
        <v>45931.0</v>
      </c>
      <c r="DP1" s="34">
        <v>45962.0</v>
      </c>
      <c r="DQ1" s="34">
        <v>45992.0</v>
      </c>
      <c r="DR1" s="34">
        <v>46023.0</v>
      </c>
      <c r="DS1" s="34">
        <v>46054.0</v>
      </c>
      <c r="DT1" s="34">
        <v>46082.0</v>
      </c>
      <c r="DU1" s="34">
        <v>46113.0</v>
      </c>
      <c r="DV1" s="34">
        <v>46143.0</v>
      </c>
      <c r="DW1" s="34">
        <v>46174.0</v>
      </c>
      <c r="DX1" s="34">
        <v>46204.0</v>
      </c>
      <c r="DY1" s="34">
        <v>46235.0</v>
      </c>
      <c r="DZ1" s="34">
        <v>46266.0</v>
      </c>
      <c r="EA1" s="34">
        <v>46296.0</v>
      </c>
      <c r="EB1" s="34">
        <v>46327.0</v>
      </c>
      <c r="EC1" s="34">
        <v>46357.0</v>
      </c>
      <c r="ED1" s="34">
        <v>46388.0</v>
      </c>
      <c r="EE1" s="34">
        <v>46419.0</v>
      </c>
      <c r="EF1" s="34">
        <v>46447.0</v>
      </c>
      <c r="EG1" s="34">
        <v>46478.0</v>
      </c>
      <c r="EH1" s="34">
        <v>46508.0</v>
      </c>
      <c r="EI1" s="34">
        <v>46539.0</v>
      </c>
      <c r="EJ1" s="34">
        <v>46569.0</v>
      </c>
      <c r="EK1" s="34">
        <v>46600.0</v>
      </c>
      <c r="EL1" s="34">
        <v>46631.0</v>
      </c>
      <c r="EM1" s="34">
        <v>46661.0</v>
      </c>
      <c r="EN1" s="34">
        <v>46692.0</v>
      </c>
      <c r="EO1" s="34">
        <v>46722.0</v>
      </c>
    </row>
    <row r="2">
      <c r="A2" s="68" t="s">
        <v>75</v>
      </c>
      <c r="B2" s="48">
        <v>22516.94</v>
      </c>
      <c r="C2" s="48">
        <v>45033.88</v>
      </c>
      <c r="D2" s="48">
        <v>67550.81999999999</v>
      </c>
      <c r="E2" s="48">
        <v>90067.76</v>
      </c>
      <c r="F2" s="48">
        <v>112584.7</v>
      </c>
      <c r="G2" s="48">
        <v>135101.63999999998</v>
      </c>
      <c r="H2" s="48">
        <v>157618.58</v>
      </c>
      <c r="I2" s="48">
        <v>184073.94999999998</v>
      </c>
      <c r="J2" s="48">
        <v>210529.31999999998</v>
      </c>
      <c r="K2" s="48">
        <v>236984.68999999997</v>
      </c>
      <c r="L2" s="48">
        <v>263440.06</v>
      </c>
      <c r="M2" s="48">
        <v>325160.44</v>
      </c>
      <c r="N2" s="48">
        <v>353399.83</v>
      </c>
      <c r="O2" s="48">
        <v>381639.22000000003</v>
      </c>
      <c r="P2" s="48">
        <v>409878.61000000004</v>
      </c>
      <c r="Q2" s="48">
        <v>438118.00000000006</v>
      </c>
      <c r="R2" s="48">
        <v>466357.3900000001</v>
      </c>
      <c r="S2" s="48">
        <v>494596.7800000001</v>
      </c>
      <c r="T2" s="48">
        <v>522836.1700000001</v>
      </c>
      <c r="U2" s="48">
        <v>551075.56</v>
      </c>
      <c r="V2" s="48">
        <v>579314.9500000001</v>
      </c>
      <c r="W2" s="48">
        <v>607554.3400000001</v>
      </c>
      <c r="X2" s="48">
        <v>635793.7300000001</v>
      </c>
      <c r="Y2" s="48">
        <v>701676.2300000001</v>
      </c>
      <c r="Z2" s="48">
        <v>733610.9600000001</v>
      </c>
      <c r="AA2" s="48">
        <v>765545.6900000001</v>
      </c>
      <c r="AB2" s="48">
        <v>797480.42</v>
      </c>
      <c r="AC2" s="48">
        <v>829415.15</v>
      </c>
      <c r="AD2" s="48">
        <v>861349.88</v>
      </c>
      <c r="AE2" s="48">
        <v>893284.61</v>
      </c>
      <c r="AF2" s="48">
        <v>925219.34</v>
      </c>
      <c r="AG2" s="48">
        <v>957154.07</v>
      </c>
      <c r="AH2" s="48">
        <v>989088.7999999999</v>
      </c>
      <c r="AI2" s="48">
        <v>1021023.5299999999</v>
      </c>
      <c r="AJ2" s="48">
        <v>1052958.26</v>
      </c>
      <c r="AK2" s="48">
        <v>1128682.54</v>
      </c>
      <c r="AL2" s="48">
        <v>1162480.96</v>
      </c>
      <c r="AM2" s="48">
        <v>1196279.38</v>
      </c>
      <c r="AN2" s="48">
        <v>1230077.7999999998</v>
      </c>
      <c r="AO2" s="48">
        <v>1263876.2199999997</v>
      </c>
      <c r="AP2" s="48">
        <v>1297674.6399999997</v>
      </c>
      <c r="AQ2" s="48">
        <v>1331473.0599999996</v>
      </c>
      <c r="AR2" s="48">
        <v>1365271.4799999995</v>
      </c>
      <c r="AS2" s="48">
        <v>1399069.8999999994</v>
      </c>
      <c r="AT2" s="48">
        <v>1432868.3199999994</v>
      </c>
      <c r="AU2" s="48">
        <v>1466666.7399999993</v>
      </c>
      <c r="AV2" s="48">
        <v>1500465.1599999992</v>
      </c>
      <c r="AW2" s="48">
        <v>1579316.8699999992</v>
      </c>
      <c r="AX2" s="48">
        <v>1613685.5699999991</v>
      </c>
      <c r="AY2" s="48">
        <v>1648054.269999999</v>
      </c>
      <c r="AZ2" s="48">
        <v>1682684.5999999992</v>
      </c>
      <c r="BA2" s="48">
        <v>1717314.9299999992</v>
      </c>
      <c r="BB2" s="48">
        <v>1751945.2599999993</v>
      </c>
      <c r="BC2" s="48">
        <v>1786575.5899999994</v>
      </c>
      <c r="BD2" s="48">
        <v>1821205.9199999995</v>
      </c>
      <c r="BE2" s="48">
        <v>1855836.2499999995</v>
      </c>
      <c r="BF2" s="48">
        <v>1890466.5799999996</v>
      </c>
      <c r="BG2" s="48">
        <v>1925096.9099999997</v>
      </c>
      <c r="BH2" s="48">
        <v>1959727.2399999998</v>
      </c>
      <c r="BI2" s="48">
        <v>2040519.7999999998</v>
      </c>
      <c r="BJ2" s="48">
        <v>2076458.2799999998</v>
      </c>
      <c r="BK2" s="48">
        <v>2112396.76</v>
      </c>
      <c r="BL2" s="48">
        <v>2148335.2399999998</v>
      </c>
      <c r="BM2" s="48">
        <v>2184273.7199999997</v>
      </c>
      <c r="BN2" s="48">
        <v>2220212.1999999997</v>
      </c>
      <c r="BO2" s="48">
        <v>2256150.6799999997</v>
      </c>
      <c r="BP2" s="48">
        <v>2292089.1599999997</v>
      </c>
      <c r="BQ2" s="48">
        <v>2328027.6399999997</v>
      </c>
      <c r="BR2" s="48">
        <v>2363966.1199999996</v>
      </c>
      <c r="BS2" s="48">
        <v>2399904.5999999996</v>
      </c>
      <c r="BT2" s="48">
        <v>2435843.0799999996</v>
      </c>
      <c r="BU2" s="48">
        <v>2519687.55</v>
      </c>
      <c r="BV2" s="48">
        <v>2558522.1999999997</v>
      </c>
      <c r="BW2" s="48">
        <v>2597356.8499999996</v>
      </c>
      <c r="BX2" s="48">
        <v>2636191.4999999995</v>
      </c>
      <c r="BY2" s="48">
        <v>2675026.1499999994</v>
      </c>
      <c r="BZ2" s="48">
        <v>2713860.7999999993</v>
      </c>
      <c r="CA2" s="48">
        <v>2752695.4499999993</v>
      </c>
      <c r="CB2" s="48">
        <v>2791530.099999999</v>
      </c>
      <c r="CC2" s="48">
        <v>2830364.749999999</v>
      </c>
      <c r="CD2" s="69">
        <v>2869199.399999999</v>
      </c>
      <c r="CE2" s="69">
        <v>2908034.049999999</v>
      </c>
      <c r="CF2" s="69">
        <v>2946868.699999999</v>
      </c>
      <c r="CG2" s="69">
        <v>3037469.939999999</v>
      </c>
      <c r="CH2" s="69">
        <v>3076461.209999999</v>
      </c>
      <c r="CI2" s="69">
        <v>3115454.789999999</v>
      </c>
      <c r="CJ2" s="69">
        <v>3154448.369999999</v>
      </c>
      <c r="CK2" s="69">
        <v>3195498.4299999992</v>
      </c>
      <c r="CL2" s="69">
        <v>3236852.1099999994</v>
      </c>
      <c r="CM2" s="69">
        <v>3278205.7899999996</v>
      </c>
      <c r="CN2" s="69">
        <v>3319559.4699999997</v>
      </c>
      <c r="CO2" s="69">
        <v>3360913.15</v>
      </c>
      <c r="CP2" s="69">
        <v>3402266.83</v>
      </c>
      <c r="CQ2" s="69">
        <v>3443620.5100000002</v>
      </c>
      <c r="CR2" s="69">
        <v>3484974.1900000004</v>
      </c>
      <c r="CS2" s="69">
        <v>3581452.3300000005</v>
      </c>
      <c r="CT2" s="69">
        <v>3622806.0100000007</v>
      </c>
      <c r="CU2" s="69">
        <v>3666458.3500000006</v>
      </c>
      <c r="CV2" s="69">
        <v>3710110.6900000004</v>
      </c>
      <c r="CW2" s="69">
        <v>3753763.0300000003</v>
      </c>
      <c r="CX2" s="69">
        <v>3797415.37</v>
      </c>
      <c r="CY2" s="69">
        <v>3841067.71</v>
      </c>
      <c r="CZ2" s="69">
        <v>3884720.05</v>
      </c>
      <c r="DA2" s="69">
        <v>3928372.3899999997</v>
      </c>
      <c r="DB2" s="69">
        <v>3972024.7299999995</v>
      </c>
      <c r="DC2" s="69">
        <v>4015677.0699999994</v>
      </c>
      <c r="DD2" s="69">
        <v>4059329.409999999</v>
      </c>
      <c r="DE2" s="69">
        <v>4161170.3199999994</v>
      </c>
      <c r="DF2" s="69">
        <v>4204822.659999999</v>
      </c>
      <c r="DG2" s="69">
        <v>4250773.7299999995</v>
      </c>
      <c r="DH2" s="69">
        <v>4296724.8</v>
      </c>
      <c r="DI2" s="69">
        <v>4342675.87</v>
      </c>
      <c r="DJ2" s="69">
        <v>4388626.94</v>
      </c>
      <c r="DK2" s="69">
        <v>4434578.010000001</v>
      </c>
      <c r="DL2" s="69">
        <v>4480529.080000001</v>
      </c>
      <c r="DM2" s="69">
        <v>4526480.150000001</v>
      </c>
      <c r="DN2" s="69">
        <v>4572431.220000002</v>
      </c>
      <c r="DO2" s="69">
        <v>4618382.290000002</v>
      </c>
      <c r="DP2" s="69">
        <v>4664333.360000002</v>
      </c>
      <c r="DQ2" s="69">
        <v>4771537.210000002</v>
      </c>
      <c r="DR2" s="69">
        <v>4817488.280000002</v>
      </c>
      <c r="DS2" s="69">
        <v>4863439.350000002</v>
      </c>
      <c r="DT2" s="69">
        <v>4909390.420000003</v>
      </c>
      <c r="DU2" s="69">
        <v>4955341.490000003</v>
      </c>
      <c r="DV2" s="69">
        <v>5001292.560000003</v>
      </c>
      <c r="DW2" s="69">
        <v>5047243.630000004</v>
      </c>
      <c r="DX2" s="69">
        <v>5093194.700000004</v>
      </c>
      <c r="DY2" s="69">
        <v>5139145.770000004</v>
      </c>
      <c r="DZ2" s="69">
        <v>5185096.8400000045</v>
      </c>
      <c r="EA2" s="69">
        <v>5231047.910000005</v>
      </c>
      <c r="EB2" s="69">
        <v>5276998.980000005</v>
      </c>
      <c r="EC2" s="69">
        <v>5384202.830000005</v>
      </c>
      <c r="ED2" s="69">
        <v>5430153.900000005</v>
      </c>
      <c r="EE2" s="69">
        <v>5476104.970000005</v>
      </c>
      <c r="EF2" s="69">
        <v>5522056.040000006</v>
      </c>
      <c r="EG2" s="69">
        <v>5568007.110000006</v>
      </c>
      <c r="EH2" s="69">
        <v>5613958.180000006</v>
      </c>
      <c r="EI2" s="69">
        <v>5659909.2500000065</v>
      </c>
      <c r="EJ2" s="69">
        <v>5705860.320000007</v>
      </c>
      <c r="EK2" s="69">
        <v>5751811.390000007</v>
      </c>
      <c r="EL2" s="69">
        <v>5797762.460000007</v>
      </c>
      <c r="EM2" s="69">
        <v>5843713.530000008</v>
      </c>
      <c r="EN2" s="69">
        <v>5889664.600000008</v>
      </c>
      <c r="EO2" s="69">
        <v>5996868.450000008</v>
      </c>
    </row>
    <row r="3">
      <c r="A3" s="68" t="s">
        <v>76</v>
      </c>
      <c r="B3" s="48">
        <v>22516.95</v>
      </c>
      <c r="C3" s="48">
        <v>45033.9</v>
      </c>
      <c r="D3" s="48">
        <v>67550.85</v>
      </c>
      <c r="E3" s="48">
        <v>90067.8</v>
      </c>
      <c r="F3" s="48">
        <v>112584.75</v>
      </c>
      <c r="G3" s="48">
        <v>135101.7</v>
      </c>
      <c r="H3" s="48">
        <v>157618.65000000002</v>
      </c>
      <c r="I3" s="48">
        <v>181374.03000000003</v>
      </c>
      <c r="J3" s="48">
        <v>205129.41000000003</v>
      </c>
      <c r="K3" s="48">
        <v>228884.79000000004</v>
      </c>
      <c r="L3" s="48">
        <v>252640.17000000004</v>
      </c>
      <c r="M3" s="48">
        <v>308061.47000000003</v>
      </c>
      <c r="N3" s="48">
        <v>333474.80000000005</v>
      </c>
      <c r="O3" s="48">
        <v>358888.13000000006</v>
      </c>
      <c r="P3" s="48">
        <v>384301.4600000001</v>
      </c>
      <c r="Q3" s="48">
        <v>409714.7900000001</v>
      </c>
      <c r="R3" s="48">
        <v>435128.1200000001</v>
      </c>
      <c r="S3" s="48">
        <v>460541.4500000001</v>
      </c>
      <c r="T3" s="48">
        <v>485954.78000000014</v>
      </c>
      <c r="U3" s="48">
        <v>511368.11000000016</v>
      </c>
      <c r="V3" s="48">
        <v>536781.4400000002</v>
      </c>
      <c r="W3" s="48">
        <v>562194.7700000001</v>
      </c>
      <c r="X3" s="48">
        <v>587608.1000000001</v>
      </c>
      <c r="Y3" s="48">
        <v>646897.3900000001</v>
      </c>
      <c r="Z3" s="48">
        <v>673998.0300000001</v>
      </c>
      <c r="AA3" s="48">
        <v>701098.6700000002</v>
      </c>
      <c r="AB3" s="48">
        <v>728199.3100000002</v>
      </c>
      <c r="AC3" s="48">
        <v>755299.9500000002</v>
      </c>
      <c r="AD3" s="48">
        <v>782400.5900000002</v>
      </c>
      <c r="AE3" s="48">
        <v>809501.2300000002</v>
      </c>
      <c r="AF3" s="48">
        <v>836601.8700000002</v>
      </c>
      <c r="AG3" s="48">
        <v>863702.5100000002</v>
      </c>
      <c r="AH3" s="48">
        <v>890803.1500000003</v>
      </c>
      <c r="AI3" s="48">
        <v>917903.7900000003</v>
      </c>
      <c r="AJ3" s="48">
        <v>945004.4300000003</v>
      </c>
      <c r="AK3" s="48">
        <v>1008230.2300000003</v>
      </c>
      <c r="AL3" s="48">
        <v>1037040.4100000004</v>
      </c>
      <c r="AM3" s="48">
        <v>1065850.5900000003</v>
      </c>
      <c r="AN3" s="48">
        <v>1094660.7700000003</v>
      </c>
      <c r="AO3" s="48">
        <v>1123470.9500000002</v>
      </c>
      <c r="AP3" s="48">
        <v>1152281.1300000001</v>
      </c>
      <c r="AQ3" s="48">
        <v>1181091.31</v>
      </c>
      <c r="AR3" s="48">
        <v>1209901.49</v>
      </c>
      <c r="AS3" s="48">
        <v>1238711.67</v>
      </c>
      <c r="AT3" s="48">
        <v>1267521.8499999999</v>
      </c>
      <c r="AU3" s="48">
        <v>1296332.0299999998</v>
      </c>
      <c r="AV3" s="48">
        <v>1325142.2099999997</v>
      </c>
      <c r="AW3" s="48">
        <v>1392356.3599999996</v>
      </c>
      <c r="AX3" s="48">
        <v>1421166.5399999996</v>
      </c>
      <c r="AY3" s="48">
        <v>1449976.7199999995</v>
      </c>
      <c r="AZ3" s="48">
        <v>1478786.8999999994</v>
      </c>
      <c r="BA3" s="48">
        <v>1507597.0799999994</v>
      </c>
      <c r="BB3" s="48">
        <v>1536407.2599999993</v>
      </c>
      <c r="BC3" s="48">
        <v>1565217.4399999992</v>
      </c>
      <c r="BD3" s="48">
        <v>1594027.6199999992</v>
      </c>
      <c r="BE3" s="48">
        <v>1622837.799999999</v>
      </c>
      <c r="BF3" s="48">
        <v>1651647.979999999</v>
      </c>
      <c r="BG3" s="48">
        <v>1680458.159999999</v>
      </c>
      <c r="BH3" s="48">
        <v>1709268.339999999</v>
      </c>
      <c r="BI3" s="48">
        <v>1776482.4899999988</v>
      </c>
      <c r="BJ3" s="48">
        <v>1805292.6699999988</v>
      </c>
      <c r="BK3" s="48">
        <v>1834102.8499999987</v>
      </c>
      <c r="BL3" s="48">
        <v>1862913.0299999986</v>
      </c>
      <c r="BM3" s="48">
        <v>1891723.2099999986</v>
      </c>
      <c r="BN3" s="48">
        <v>1920533.3899999985</v>
      </c>
      <c r="BO3" s="48">
        <v>1949343.5699999984</v>
      </c>
      <c r="BP3" s="48">
        <v>1978153.7499999984</v>
      </c>
      <c r="BQ3" s="48">
        <v>2006963.9299999983</v>
      </c>
      <c r="BR3" s="48">
        <v>2035774.1099999982</v>
      </c>
      <c r="BS3" s="48">
        <v>2064584.2899999982</v>
      </c>
      <c r="BT3" s="48">
        <v>2093394.469999998</v>
      </c>
      <c r="BU3" s="48">
        <v>2160608.6199999982</v>
      </c>
      <c r="BV3" s="48">
        <v>2189418.7999999984</v>
      </c>
      <c r="BW3" s="48">
        <v>2218228.9799999986</v>
      </c>
      <c r="BX3" s="48">
        <v>2247039.1599999988</v>
      </c>
      <c r="BY3" s="48">
        <v>2275849.339999999</v>
      </c>
      <c r="BZ3" s="48">
        <v>2304659.519999999</v>
      </c>
      <c r="CA3" s="48">
        <v>2333469.6999999993</v>
      </c>
      <c r="CB3" s="48">
        <v>2362279.8799999994</v>
      </c>
      <c r="CC3" s="48">
        <v>2391090.0599999996</v>
      </c>
      <c r="CD3" s="69">
        <v>2419900.2399999998</v>
      </c>
      <c r="CE3" s="69">
        <v>2448710.42</v>
      </c>
      <c r="CF3" s="69">
        <v>2477520.6</v>
      </c>
      <c r="CG3" s="69">
        <v>2544734.75</v>
      </c>
      <c r="CH3" s="69">
        <v>2573544.93</v>
      </c>
      <c r="CI3" s="69">
        <v>2602355.1100000003</v>
      </c>
      <c r="CJ3" s="69">
        <v>2631165.2900000005</v>
      </c>
      <c r="CK3" s="69">
        <v>2659975.4700000007</v>
      </c>
      <c r="CL3" s="69">
        <v>2691378.5600000005</v>
      </c>
      <c r="CM3" s="69">
        <v>2722781.6500000004</v>
      </c>
      <c r="CN3" s="69">
        <v>2754184.74</v>
      </c>
      <c r="CO3" s="69">
        <v>2785587.83</v>
      </c>
      <c r="CP3" s="69">
        <v>2816990.92</v>
      </c>
      <c r="CQ3" s="69">
        <v>2848394.01</v>
      </c>
      <c r="CR3" s="69">
        <v>2879797.0999999996</v>
      </c>
      <c r="CS3" s="69">
        <v>2953060.5199999996</v>
      </c>
      <c r="CT3" s="69">
        <v>2984463.6099999994</v>
      </c>
      <c r="CU3" s="69">
        <v>3015866.6999999993</v>
      </c>
      <c r="CV3" s="69">
        <v>3047269.789999999</v>
      </c>
      <c r="CW3" s="69">
        <v>3078672.879999999</v>
      </c>
      <c r="CX3" s="69">
        <v>3110075.969999999</v>
      </c>
      <c r="CY3" s="69">
        <v>3141479.0599999987</v>
      </c>
      <c r="CZ3" s="69">
        <v>3172882.1499999985</v>
      </c>
      <c r="DA3" s="69">
        <v>3204285.2399999984</v>
      </c>
      <c r="DB3" s="69">
        <v>3235688.329999998</v>
      </c>
      <c r="DC3" s="69">
        <v>3267091.419999998</v>
      </c>
      <c r="DD3" s="69">
        <v>3298494.509999998</v>
      </c>
      <c r="DE3" s="69">
        <v>3371757.929999998</v>
      </c>
      <c r="DF3" s="69">
        <v>3406585.399999998</v>
      </c>
      <c r="DG3" s="69">
        <v>3441412.8699999982</v>
      </c>
      <c r="DH3" s="69">
        <v>3476240.3399999985</v>
      </c>
      <c r="DI3" s="69">
        <v>3511067.8099999987</v>
      </c>
      <c r="DJ3" s="69">
        <v>3545895.279999999</v>
      </c>
      <c r="DK3" s="69">
        <v>3580722.749999999</v>
      </c>
      <c r="DL3" s="69">
        <v>3615550.2199999993</v>
      </c>
      <c r="DM3" s="69">
        <v>3650377.6899999995</v>
      </c>
      <c r="DN3" s="69">
        <v>3685205.1599999997</v>
      </c>
      <c r="DO3" s="69">
        <v>3720032.63</v>
      </c>
      <c r="DP3" s="69">
        <v>3754860.1</v>
      </c>
      <c r="DQ3" s="69">
        <v>3836112.6</v>
      </c>
      <c r="DR3" s="69">
        <v>3870940.0700000003</v>
      </c>
      <c r="DS3" s="69">
        <v>3905767.5400000005</v>
      </c>
      <c r="DT3" s="69">
        <v>3940595.0100000007</v>
      </c>
      <c r="DU3" s="69">
        <v>3979220.2700000005</v>
      </c>
      <c r="DV3" s="69">
        <v>4017845.5300000003</v>
      </c>
      <c r="DW3" s="69">
        <v>4056470.79</v>
      </c>
      <c r="DX3" s="69">
        <v>4095096.05</v>
      </c>
      <c r="DY3" s="69">
        <v>4133721.3099999996</v>
      </c>
      <c r="DZ3" s="69">
        <v>4172346.5699999994</v>
      </c>
      <c r="EA3" s="69">
        <v>4210971.829999999</v>
      </c>
      <c r="EB3" s="69">
        <v>4249597.089999999</v>
      </c>
      <c r="EC3" s="69">
        <v>4339709.829999999</v>
      </c>
      <c r="ED3" s="69">
        <v>4378335.089999999</v>
      </c>
      <c r="EE3" s="69">
        <v>4416960.349999999</v>
      </c>
      <c r="EF3" s="69">
        <v>4455585.6099999985</v>
      </c>
      <c r="EG3" s="69">
        <v>4494210.869999998</v>
      </c>
      <c r="EH3" s="69">
        <v>4532836.129999998</v>
      </c>
      <c r="EI3" s="69">
        <v>4571461.389999998</v>
      </c>
      <c r="EJ3" s="69">
        <v>4610086.649999998</v>
      </c>
      <c r="EK3" s="69">
        <v>4648711.909999997</v>
      </c>
      <c r="EL3" s="69">
        <v>4687337.169999997</v>
      </c>
      <c r="EM3" s="69">
        <v>4725962.429999997</v>
      </c>
      <c r="EN3" s="69">
        <v>4764587.689999997</v>
      </c>
      <c r="EO3" s="69">
        <v>4854700.429999997</v>
      </c>
    </row>
    <row r="4">
      <c r="A4" s="68" t="s">
        <v>77</v>
      </c>
      <c r="B4" s="48">
        <v>22516.88</v>
      </c>
      <c r="C4" s="48">
        <v>45033.76</v>
      </c>
      <c r="D4" s="48">
        <v>67550.64</v>
      </c>
      <c r="E4" s="48">
        <v>90067.52</v>
      </c>
      <c r="F4" s="48">
        <v>112584.40000000001</v>
      </c>
      <c r="G4" s="48">
        <v>135101.28</v>
      </c>
      <c r="H4" s="48">
        <v>157618.16</v>
      </c>
      <c r="I4" s="48">
        <v>180135.04</v>
      </c>
      <c r="J4" s="48">
        <v>205351.92</v>
      </c>
      <c r="K4" s="48">
        <v>230568.80000000002</v>
      </c>
      <c r="L4" s="48">
        <v>255785.68000000002</v>
      </c>
      <c r="M4" s="48">
        <v>314616.66000000003</v>
      </c>
      <c r="N4" s="48">
        <v>342259.73000000004</v>
      </c>
      <c r="O4" s="48">
        <v>369902.80000000005</v>
      </c>
      <c r="P4" s="48">
        <v>397545.87000000005</v>
      </c>
      <c r="Q4" s="48">
        <v>425188.94000000006</v>
      </c>
      <c r="R4" s="48">
        <v>452832.01000000007</v>
      </c>
      <c r="S4" s="48">
        <v>480475.0800000001</v>
      </c>
      <c r="T4" s="48">
        <v>508118.1500000001</v>
      </c>
      <c r="U4" s="48">
        <v>535761.2200000001</v>
      </c>
      <c r="V4" s="48">
        <v>563404.29</v>
      </c>
      <c r="W4" s="48">
        <v>591047.36</v>
      </c>
      <c r="X4" s="48">
        <v>618690.4299999999</v>
      </c>
      <c r="Y4" s="48">
        <v>683181.71</v>
      </c>
      <c r="Z4" s="48">
        <v>712009.58</v>
      </c>
      <c r="AA4" s="48">
        <v>740837.45</v>
      </c>
      <c r="AB4" s="48">
        <v>769665.32</v>
      </c>
      <c r="AC4" s="48">
        <v>798493.19</v>
      </c>
      <c r="AD4" s="48">
        <v>827321.0599999999</v>
      </c>
      <c r="AE4" s="48">
        <v>856148.9299999999</v>
      </c>
      <c r="AF4" s="48">
        <v>884976.7999999999</v>
      </c>
      <c r="AG4" s="48">
        <v>913804.6699999999</v>
      </c>
      <c r="AH4" s="48">
        <v>942632.5399999999</v>
      </c>
      <c r="AI4" s="48">
        <v>971460.4099999999</v>
      </c>
      <c r="AJ4" s="48">
        <v>1000288.2799999999</v>
      </c>
      <c r="AK4" s="48">
        <v>1067543.7</v>
      </c>
      <c r="AL4" s="48">
        <v>1097547.32</v>
      </c>
      <c r="AM4" s="48">
        <v>1127550.9400000002</v>
      </c>
      <c r="AN4" s="48">
        <v>1157554.5600000003</v>
      </c>
      <c r="AO4" s="48">
        <v>1187558.1800000004</v>
      </c>
      <c r="AP4" s="48">
        <v>1217561.8000000005</v>
      </c>
      <c r="AQ4" s="48">
        <v>1247565.4200000006</v>
      </c>
      <c r="AR4" s="48">
        <v>1277569.0400000007</v>
      </c>
      <c r="AS4" s="48">
        <v>1307572.6600000008</v>
      </c>
      <c r="AT4" s="48">
        <v>1337576.280000001</v>
      </c>
      <c r="AU4" s="48">
        <v>1367579.900000001</v>
      </c>
      <c r="AV4" s="48">
        <v>1397583.5200000012</v>
      </c>
      <c r="AW4" s="48">
        <v>1467581.9700000011</v>
      </c>
      <c r="AX4" s="48">
        <v>1497585.5900000012</v>
      </c>
      <c r="AY4" s="48">
        <v>1527589.2100000014</v>
      </c>
      <c r="AZ4" s="48">
        <v>1557592.8300000015</v>
      </c>
      <c r="BA4" s="48">
        <v>1587596.4500000016</v>
      </c>
      <c r="BB4" s="48">
        <v>1617600.0700000017</v>
      </c>
      <c r="BC4" s="48">
        <v>1647603.6900000018</v>
      </c>
      <c r="BD4" s="48">
        <v>1677607.310000002</v>
      </c>
      <c r="BE4" s="48">
        <v>1707610.930000002</v>
      </c>
      <c r="BF4" s="48">
        <v>1737614.5500000021</v>
      </c>
      <c r="BG4" s="48">
        <v>1767618.1700000023</v>
      </c>
      <c r="BH4" s="48">
        <v>1797621.7900000024</v>
      </c>
      <c r="BI4" s="48">
        <v>1867620.2400000023</v>
      </c>
      <c r="BJ4" s="48">
        <v>1897623.8600000024</v>
      </c>
      <c r="BK4" s="48">
        <v>1927627.4800000025</v>
      </c>
      <c r="BL4" s="48">
        <v>1957631.1000000027</v>
      </c>
      <c r="BM4" s="48">
        <v>1987634.7200000028</v>
      </c>
      <c r="BN4" s="48">
        <v>2017638.3400000029</v>
      </c>
      <c r="BO4" s="48">
        <v>2047641.960000003</v>
      </c>
      <c r="BP4" s="48">
        <v>2077645.580000003</v>
      </c>
      <c r="BQ4" s="48">
        <v>2107649.200000003</v>
      </c>
      <c r="BR4" s="48">
        <v>2137652.820000003</v>
      </c>
      <c r="BS4" s="48">
        <v>2167656.440000003</v>
      </c>
      <c r="BT4" s="48">
        <v>2197660.0600000033</v>
      </c>
      <c r="BU4" s="48">
        <v>2267658.5100000035</v>
      </c>
      <c r="BV4" s="48">
        <v>2297662.1300000036</v>
      </c>
      <c r="BW4" s="48">
        <v>2327665.7500000037</v>
      </c>
      <c r="BX4" s="48">
        <v>2357669.370000004</v>
      </c>
      <c r="BY4" s="48">
        <v>2387672.990000004</v>
      </c>
      <c r="BZ4" s="48">
        <v>2417676.610000004</v>
      </c>
      <c r="CA4" s="48">
        <v>2447680.230000004</v>
      </c>
      <c r="CB4" s="48">
        <v>2477683.8500000043</v>
      </c>
      <c r="CC4" s="48">
        <v>2507687.4700000044</v>
      </c>
      <c r="CD4" s="69">
        <v>2537691.0900000045</v>
      </c>
      <c r="CE4" s="69">
        <v>2567694.7100000046</v>
      </c>
      <c r="CF4" s="69">
        <v>2597698.3300000047</v>
      </c>
      <c r="CG4" s="69">
        <v>2667696.780000005</v>
      </c>
      <c r="CH4" s="69">
        <v>2697700.400000005</v>
      </c>
      <c r="CI4" s="69">
        <v>2727704.020000005</v>
      </c>
      <c r="CJ4" s="69">
        <v>2757707.6400000053</v>
      </c>
      <c r="CK4" s="69">
        <v>2787711.2600000054</v>
      </c>
      <c r="CL4" s="69">
        <v>2820172.2100000056</v>
      </c>
      <c r="CM4" s="69">
        <v>2852633.1600000057</v>
      </c>
      <c r="CN4" s="69">
        <v>2885094.110000006</v>
      </c>
      <c r="CO4" s="69">
        <v>2917555.060000006</v>
      </c>
      <c r="CP4" s="69">
        <v>2950016.0100000063</v>
      </c>
      <c r="CQ4" s="69">
        <v>2982476.9600000065</v>
      </c>
      <c r="CR4" s="69">
        <v>3014937.9100000067</v>
      </c>
      <c r="CS4" s="69">
        <v>3090669.3100000066</v>
      </c>
      <c r="CT4" s="69">
        <v>3123130.2600000068</v>
      </c>
      <c r="CU4" s="69">
        <v>3156941.210000007</v>
      </c>
      <c r="CV4" s="69">
        <v>3190752.160000007</v>
      </c>
      <c r="CW4" s="69">
        <v>3224563.1100000073</v>
      </c>
      <c r="CX4" s="69">
        <v>3258374.0600000075</v>
      </c>
      <c r="CY4" s="69">
        <v>3292185.0100000077</v>
      </c>
      <c r="CZ4" s="69">
        <v>3325995.960000008</v>
      </c>
      <c r="DA4" s="69">
        <v>3360256.910000008</v>
      </c>
      <c r="DB4" s="69">
        <v>3394517.8600000083</v>
      </c>
      <c r="DC4" s="69">
        <v>3428778.8100000084</v>
      </c>
      <c r="DD4" s="69">
        <v>3463039.7600000086</v>
      </c>
      <c r="DE4" s="69">
        <v>3542970.5600000084</v>
      </c>
      <c r="DF4" s="69">
        <v>3577231.5100000086</v>
      </c>
      <c r="DG4" s="69">
        <v>3613292.460000009</v>
      </c>
      <c r="DH4" s="69">
        <v>3649353.410000009</v>
      </c>
      <c r="DI4" s="69">
        <v>3685414.360000009</v>
      </c>
      <c r="DJ4" s="69">
        <v>3721475.3100000094</v>
      </c>
      <c r="DK4" s="69">
        <v>3757536.2600000096</v>
      </c>
      <c r="DL4" s="69">
        <v>3793597.2100000097</v>
      </c>
      <c r="DM4" s="69">
        <v>3829658.16000001</v>
      </c>
      <c r="DN4" s="69">
        <v>3865719.11000001</v>
      </c>
      <c r="DO4" s="69">
        <v>3901780.0600000103</v>
      </c>
      <c r="DP4" s="69">
        <v>3937841.0100000105</v>
      </c>
      <c r="DQ4" s="69">
        <v>4021971.2100000107</v>
      </c>
      <c r="DR4" s="69">
        <v>4058032.160000011</v>
      </c>
      <c r="DS4" s="69">
        <v>4094093.110000011</v>
      </c>
      <c r="DT4" s="69">
        <v>4130154.060000011</v>
      </c>
      <c r="DU4" s="69">
        <v>4170265.0100000114</v>
      </c>
      <c r="DV4" s="69">
        <v>4210375.960000011</v>
      </c>
      <c r="DW4" s="69">
        <v>4250486.910000011</v>
      </c>
      <c r="DX4" s="69">
        <v>4290597.8600000115</v>
      </c>
      <c r="DY4" s="69">
        <v>4330708.810000012</v>
      </c>
      <c r="DZ4" s="69">
        <v>4370819.760000012</v>
      </c>
      <c r="EA4" s="69">
        <v>4410930.710000012</v>
      </c>
      <c r="EB4" s="69">
        <v>4451041.660000012</v>
      </c>
      <c r="EC4" s="69">
        <v>4544620.510000012</v>
      </c>
      <c r="ED4" s="69">
        <v>4584731.460000012</v>
      </c>
      <c r="EE4" s="69">
        <v>4625204.660000012</v>
      </c>
      <c r="EF4" s="69">
        <v>4665677.860000012</v>
      </c>
      <c r="EG4" s="69">
        <v>4706151.060000013</v>
      </c>
      <c r="EH4" s="69">
        <v>4746624.260000013</v>
      </c>
      <c r="EI4" s="69">
        <v>4787097.460000013</v>
      </c>
      <c r="EJ4" s="69">
        <v>4827570.660000013</v>
      </c>
      <c r="EK4" s="69">
        <v>4868043.860000013</v>
      </c>
      <c r="EL4" s="69">
        <v>4908517.060000014</v>
      </c>
      <c r="EM4" s="69">
        <v>4948990.260000014</v>
      </c>
      <c r="EN4" s="69">
        <v>4989463.460000014</v>
      </c>
      <c r="EO4" s="69">
        <v>5083887.440000014</v>
      </c>
    </row>
    <row r="5">
      <c r="A5" s="68" t="s">
        <v>78</v>
      </c>
      <c r="B5" s="48">
        <v>22516.95</v>
      </c>
      <c r="C5" s="48">
        <v>45033.9</v>
      </c>
      <c r="D5" s="48">
        <v>67550.85</v>
      </c>
      <c r="E5" s="48">
        <v>90067.8</v>
      </c>
      <c r="F5" s="48">
        <v>112584.75</v>
      </c>
      <c r="G5" s="48">
        <v>135101.7</v>
      </c>
      <c r="H5" s="48">
        <v>157618.65000000002</v>
      </c>
      <c r="I5" s="48">
        <v>181374.03000000003</v>
      </c>
      <c r="J5" s="48">
        <v>205129.41000000003</v>
      </c>
      <c r="K5" s="48">
        <v>228884.79000000004</v>
      </c>
      <c r="L5" s="48">
        <v>252640.17000000004</v>
      </c>
      <c r="M5" s="48">
        <v>308061.47000000003</v>
      </c>
      <c r="N5" s="48">
        <v>333474.80000000005</v>
      </c>
      <c r="O5" s="48">
        <v>358888.13000000006</v>
      </c>
      <c r="P5" s="48">
        <v>384301.4600000001</v>
      </c>
      <c r="Q5" s="48">
        <v>409714.7900000001</v>
      </c>
      <c r="R5" s="48">
        <v>435128.1200000001</v>
      </c>
      <c r="S5" s="48">
        <v>460541.4500000001</v>
      </c>
      <c r="T5" s="48">
        <v>485954.78000000014</v>
      </c>
      <c r="U5" s="48">
        <v>511368.11000000016</v>
      </c>
      <c r="V5" s="48">
        <v>536781.4400000002</v>
      </c>
      <c r="W5" s="48">
        <v>562194.7700000001</v>
      </c>
      <c r="X5" s="48">
        <v>587608.1000000001</v>
      </c>
      <c r="Y5" s="48">
        <v>646897.3900000001</v>
      </c>
      <c r="Z5" s="48">
        <v>673998.0300000001</v>
      </c>
      <c r="AA5" s="48">
        <v>701098.6700000002</v>
      </c>
      <c r="AB5" s="48">
        <v>728199.3100000002</v>
      </c>
      <c r="AC5" s="48">
        <v>755299.9500000002</v>
      </c>
      <c r="AD5" s="48">
        <v>782400.5900000002</v>
      </c>
      <c r="AE5" s="48">
        <v>809501.2300000002</v>
      </c>
      <c r="AF5" s="48">
        <v>836601.8700000002</v>
      </c>
      <c r="AG5" s="48">
        <v>863702.5100000002</v>
      </c>
      <c r="AH5" s="48">
        <v>890803.1500000003</v>
      </c>
      <c r="AI5" s="48">
        <v>917903.7900000003</v>
      </c>
      <c r="AJ5" s="48">
        <v>945004.4300000003</v>
      </c>
      <c r="AK5" s="48">
        <v>1008230.2300000003</v>
      </c>
      <c r="AL5" s="48">
        <v>1037040.4100000004</v>
      </c>
      <c r="AM5" s="48">
        <v>1065850.5900000003</v>
      </c>
      <c r="AN5" s="48">
        <v>1094660.7700000003</v>
      </c>
      <c r="AO5" s="48">
        <v>1123470.9500000002</v>
      </c>
      <c r="AP5" s="48">
        <v>1152281.1300000001</v>
      </c>
      <c r="AQ5" s="48">
        <v>1181091.31</v>
      </c>
      <c r="AR5" s="48">
        <v>1209901.49</v>
      </c>
      <c r="AS5" s="48">
        <v>1238711.67</v>
      </c>
      <c r="AT5" s="48">
        <v>1267521.8499999999</v>
      </c>
      <c r="AU5" s="48">
        <v>1296332.0299999998</v>
      </c>
      <c r="AV5" s="48">
        <v>1325142.2099999997</v>
      </c>
      <c r="AW5" s="48">
        <v>1392356.3599999996</v>
      </c>
      <c r="AX5" s="48">
        <v>1421166.5399999996</v>
      </c>
      <c r="AY5" s="48">
        <v>1449976.7199999995</v>
      </c>
      <c r="AZ5" s="48">
        <v>1478786.8999999994</v>
      </c>
      <c r="BA5" s="48">
        <v>1507597.0799999994</v>
      </c>
      <c r="BB5" s="48">
        <v>1536407.2599999993</v>
      </c>
      <c r="BC5" s="48">
        <v>1565217.4399999992</v>
      </c>
      <c r="BD5" s="48">
        <v>1594027.6199999992</v>
      </c>
      <c r="BE5" s="48">
        <v>1622837.799999999</v>
      </c>
      <c r="BF5" s="48">
        <v>1651647.979999999</v>
      </c>
      <c r="BG5" s="48">
        <v>1680458.159999999</v>
      </c>
      <c r="BH5" s="48">
        <v>1709268.339999999</v>
      </c>
      <c r="BI5" s="48">
        <v>1776482.4899999988</v>
      </c>
      <c r="BJ5" s="48">
        <v>1805292.6699999988</v>
      </c>
      <c r="BK5" s="48">
        <v>1834102.8499999987</v>
      </c>
      <c r="BL5" s="48">
        <v>1862913.0299999986</v>
      </c>
      <c r="BM5" s="48">
        <v>1891723.2099999986</v>
      </c>
      <c r="BN5" s="48">
        <v>1920533.3899999985</v>
      </c>
      <c r="BO5" s="48">
        <v>1949343.5699999984</v>
      </c>
      <c r="BP5" s="48">
        <v>1978153.7499999984</v>
      </c>
      <c r="BQ5" s="48">
        <v>2006963.9299999983</v>
      </c>
      <c r="BR5" s="48">
        <v>2035774.1099999982</v>
      </c>
      <c r="BS5" s="48">
        <v>2064584.2899999982</v>
      </c>
      <c r="BT5" s="48">
        <v>2093394.469999998</v>
      </c>
      <c r="BU5" s="48">
        <v>2160608.6199999982</v>
      </c>
      <c r="BV5" s="48">
        <v>2189418.7999999984</v>
      </c>
      <c r="BW5" s="48">
        <v>2218228.9799999986</v>
      </c>
      <c r="BX5" s="48">
        <v>2247039.1599999988</v>
      </c>
      <c r="BY5" s="48">
        <v>2275849.339999999</v>
      </c>
      <c r="BZ5" s="48">
        <v>2304659.519999999</v>
      </c>
      <c r="CA5" s="48">
        <v>2333469.6999999993</v>
      </c>
      <c r="CB5" s="48">
        <v>2362279.8799999994</v>
      </c>
      <c r="CC5" s="48">
        <v>2391090.0599999996</v>
      </c>
      <c r="CD5" s="69">
        <v>2419900.2399999998</v>
      </c>
      <c r="CE5" s="69">
        <v>2448710.42</v>
      </c>
      <c r="CF5" s="69">
        <v>2477520.6</v>
      </c>
      <c r="CG5" s="69">
        <v>2544734.75</v>
      </c>
      <c r="CH5" s="69">
        <v>2573544.93</v>
      </c>
      <c r="CI5" s="69">
        <v>2602355.1100000003</v>
      </c>
      <c r="CJ5" s="69">
        <v>2631165.2900000005</v>
      </c>
      <c r="CK5" s="69">
        <v>2659975.4700000007</v>
      </c>
      <c r="CL5" s="69">
        <v>2691378.5600000005</v>
      </c>
      <c r="CM5" s="69">
        <v>2722781.6500000004</v>
      </c>
      <c r="CN5" s="69">
        <v>2754184.74</v>
      </c>
      <c r="CO5" s="69">
        <v>2785587.83</v>
      </c>
      <c r="CP5" s="69">
        <v>2816990.92</v>
      </c>
      <c r="CQ5" s="69">
        <v>2848394.01</v>
      </c>
      <c r="CR5" s="69">
        <v>2879797.0999999996</v>
      </c>
      <c r="CS5" s="69">
        <v>2953060.5199999996</v>
      </c>
      <c r="CT5" s="69">
        <v>2984463.6099999994</v>
      </c>
      <c r="CU5" s="69">
        <v>3015866.6999999993</v>
      </c>
      <c r="CV5" s="69">
        <v>3047269.789999999</v>
      </c>
      <c r="CW5" s="69">
        <v>3078672.879999999</v>
      </c>
      <c r="CX5" s="69">
        <v>3110075.969999999</v>
      </c>
      <c r="CY5" s="69">
        <v>3141479.0599999987</v>
      </c>
      <c r="CZ5" s="69">
        <v>3172882.1499999985</v>
      </c>
      <c r="DA5" s="69">
        <v>3204285.2399999984</v>
      </c>
      <c r="DB5" s="69">
        <v>3235688.329999998</v>
      </c>
      <c r="DC5" s="69">
        <v>3267091.419999998</v>
      </c>
      <c r="DD5" s="69">
        <v>3298494.509999998</v>
      </c>
      <c r="DE5" s="69">
        <v>3371757.929999998</v>
      </c>
      <c r="DF5" s="69">
        <v>3406585.399999998</v>
      </c>
      <c r="DG5" s="69">
        <v>3441412.8699999982</v>
      </c>
      <c r="DH5" s="69">
        <v>3476240.3399999985</v>
      </c>
      <c r="DI5" s="69">
        <v>3511067.8099999987</v>
      </c>
      <c r="DJ5" s="69">
        <v>3545895.279999999</v>
      </c>
      <c r="DK5" s="69">
        <v>3580722.749999999</v>
      </c>
      <c r="DL5" s="69">
        <v>3615550.2199999993</v>
      </c>
      <c r="DM5" s="69">
        <v>3650377.6899999995</v>
      </c>
      <c r="DN5" s="69">
        <v>3685205.1599999997</v>
      </c>
      <c r="DO5" s="69">
        <v>3720032.63</v>
      </c>
      <c r="DP5" s="69">
        <v>3754860.1</v>
      </c>
      <c r="DQ5" s="69">
        <v>3836112.6</v>
      </c>
      <c r="DR5" s="69">
        <v>3870940.0700000003</v>
      </c>
      <c r="DS5" s="69">
        <v>3905767.5400000005</v>
      </c>
      <c r="DT5" s="69">
        <v>3940595.0100000007</v>
      </c>
      <c r="DU5" s="69">
        <v>3979220.2700000005</v>
      </c>
      <c r="DV5" s="69">
        <v>4017845.5300000003</v>
      </c>
      <c r="DW5" s="69">
        <v>4056470.79</v>
      </c>
      <c r="DX5" s="69">
        <v>4095096.05</v>
      </c>
      <c r="DY5" s="69">
        <v>4133721.3099999996</v>
      </c>
      <c r="DZ5" s="69">
        <v>4172346.5699999994</v>
      </c>
      <c r="EA5" s="69">
        <v>4210971.829999999</v>
      </c>
      <c r="EB5" s="69">
        <v>4249597.089999999</v>
      </c>
      <c r="EC5" s="69">
        <v>4339709.829999999</v>
      </c>
      <c r="ED5" s="69">
        <v>4378335.089999999</v>
      </c>
      <c r="EE5" s="69">
        <v>4416960.349999999</v>
      </c>
      <c r="EF5" s="69">
        <v>4455585.6099999985</v>
      </c>
      <c r="EG5" s="69">
        <v>4494210.869999998</v>
      </c>
      <c r="EH5" s="69">
        <v>4532836.129999998</v>
      </c>
      <c r="EI5" s="69">
        <v>4571461.389999998</v>
      </c>
      <c r="EJ5" s="69">
        <v>4610086.649999998</v>
      </c>
      <c r="EK5" s="69">
        <v>4648711.909999997</v>
      </c>
      <c r="EL5" s="69">
        <v>4687337.169999997</v>
      </c>
      <c r="EM5" s="69">
        <v>4725962.429999997</v>
      </c>
      <c r="EN5" s="69">
        <v>4764587.689999997</v>
      </c>
      <c r="EO5" s="69">
        <v>4854700.429999997</v>
      </c>
    </row>
    <row r="6">
      <c r="A6" s="68" t="s">
        <v>79</v>
      </c>
      <c r="B6" s="48">
        <v>21391.1</v>
      </c>
      <c r="C6" s="48">
        <v>42782.2</v>
      </c>
      <c r="D6" s="48">
        <v>64173.299999999996</v>
      </c>
      <c r="E6" s="48">
        <v>85564.4</v>
      </c>
      <c r="F6" s="48">
        <v>106955.5</v>
      </c>
      <c r="G6" s="48">
        <v>128346.6</v>
      </c>
      <c r="H6" s="48">
        <v>149737.7</v>
      </c>
      <c r="I6" s="48">
        <v>172305.31</v>
      </c>
      <c r="J6" s="48">
        <v>194872.91999999998</v>
      </c>
      <c r="K6" s="48">
        <v>217440.52999999997</v>
      </c>
      <c r="L6" s="48">
        <v>240008.13999999996</v>
      </c>
      <c r="M6" s="48">
        <v>292658.36999999994</v>
      </c>
      <c r="N6" s="48">
        <v>316801.0299999999</v>
      </c>
      <c r="O6" s="48">
        <v>340943.6899999999</v>
      </c>
      <c r="P6" s="48">
        <v>365086.34999999986</v>
      </c>
      <c r="Q6" s="48">
        <v>389229.00999999983</v>
      </c>
      <c r="R6" s="48">
        <v>413371.6699999998</v>
      </c>
      <c r="S6" s="48">
        <v>437514.3299999998</v>
      </c>
      <c r="T6" s="48">
        <v>461656.98999999976</v>
      </c>
      <c r="U6" s="48">
        <v>485799.64999999973</v>
      </c>
      <c r="V6" s="48">
        <v>509942.3099999997</v>
      </c>
      <c r="W6" s="48">
        <v>534084.9699999997</v>
      </c>
      <c r="X6" s="48">
        <v>558227.6299999998</v>
      </c>
      <c r="Y6" s="48">
        <v>614552.4599999997</v>
      </c>
      <c r="Z6" s="48">
        <v>640298.0699999997</v>
      </c>
      <c r="AA6" s="48">
        <v>666043.6799999997</v>
      </c>
      <c r="AB6" s="48">
        <v>691789.2899999997</v>
      </c>
      <c r="AC6" s="48">
        <v>717534.8999999997</v>
      </c>
      <c r="AD6" s="48">
        <v>743280.5099999997</v>
      </c>
      <c r="AE6" s="48">
        <v>769026.1199999996</v>
      </c>
      <c r="AF6" s="48">
        <v>794771.7299999996</v>
      </c>
      <c r="AG6" s="48">
        <v>820517.3399999996</v>
      </c>
      <c r="AH6" s="48">
        <v>846262.9499999996</v>
      </c>
      <c r="AI6" s="48">
        <v>872008.5599999996</v>
      </c>
      <c r="AJ6" s="48">
        <v>897754.1699999996</v>
      </c>
      <c r="AK6" s="48">
        <v>957818.6799999996</v>
      </c>
      <c r="AL6" s="48">
        <v>985188.3499999996</v>
      </c>
      <c r="AM6" s="48">
        <v>1012558.0199999997</v>
      </c>
      <c r="AN6" s="48">
        <v>1039927.6899999997</v>
      </c>
      <c r="AO6" s="48">
        <v>1067297.3599999996</v>
      </c>
      <c r="AP6" s="48">
        <v>1094667.0299999996</v>
      </c>
      <c r="AQ6" s="48">
        <v>1122036.6999999995</v>
      </c>
      <c r="AR6" s="48">
        <v>1149406.3699999994</v>
      </c>
      <c r="AS6" s="48">
        <v>1176776.0399999993</v>
      </c>
      <c r="AT6" s="48">
        <v>1204145.7099999993</v>
      </c>
      <c r="AU6" s="48">
        <v>1231515.3799999992</v>
      </c>
      <c r="AV6" s="48">
        <v>1258885.049999999</v>
      </c>
      <c r="AW6" s="48">
        <v>1322738.489999999</v>
      </c>
      <c r="AX6" s="48">
        <v>1350108.159999999</v>
      </c>
      <c r="AY6" s="48">
        <v>1377477.829999999</v>
      </c>
      <c r="AZ6" s="48">
        <v>1404847.4999999988</v>
      </c>
      <c r="BA6" s="48">
        <v>1432217.1699999988</v>
      </c>
      <c r="BB6" s="48">
        <v>1459586.8399999987</v>
      </c>
      <c r="BC6" s="48">
        <v>1486956.5099999986</v>
      </c>
      <c r="BD6" s="48">
        <v>1514326.1799999985</v>
      </c>
      <c r="BE6" s="48">
        <v>1541695.8499999985</v>
      </c>
      <c r="BF6" s="48">
        <v>1569065.5199999984</v>
      </c>
      <c r="BG6" s="48">
        <v>1596435.1899999983</v>
      </c>
      <c r="BH6" s="48">
        <v>1623804.8599999982</v>
      </c>
      <c r="BI6" s="48">
        <v>1687658.2999999982</v>
      </c>
      <c r="BJ6" s="48">
        <v>1715027.969999998</v>
      </c>
      <c r="BK6" s="48">
        <v>1742397.639999998</v>
      </c>
      <c r="BL6" s="48">
        <v>1769767.309999998</v>
      </c>
      <c r="BM6" s="48">
        <v>1797136.979999998</v>
      </c>
      <c r="BN6" s="48">
        <v>1824506.6499999978</v>
      </c>
      <c r="BO6" s="48">
        <v>1851876.3199999977</v>
      </c>
      <c r="BP6" s="48">
        <v>1879245.9899999977</v>
      </c>
      <c r="BQ6" s="48">
        <v>1906615.6599999976</v>
      </c>
      <c r="BR6" s="48">
        <v>1933985.3299999975</v>
      </c>
      <c r="BS6" s="48">
        <v>1961354.9999999974</v>
      </c>
      <c r="BT6" s="48">
        <v>1988724.6699999974</v>
      </c>
      <c r="BU6" s="48">
        <v>2052578.1099999973</v>
      </c>
      <c r="BV6" s="48">
        <v>2079947.7799999972</v>
      </c>
      <c r="BW6" s="48">
        <v>2107317.4499999974</v>
      </c>
      <c r="BX6" s="48">
        <v>2134687.1199999973</v>
      </c>
      <c r="BY6" s="48">
        <v>2162056.7899999972</v>
      </c>
      <c r="BZ6" s="48">
        <v>2189426.459999997</v>
      </c>
      <c r="CA6" s="48">
        <v>2216796.129999997</v>
      </c>
      <c r="CB6" s="48">
        <v>2244165.799999997</v>
      </c>
      <c r="CC6" s="48">
        <v>2271535.469999997</v>
      </c>
      <c r="CD6" s="69">
        <v>2298905.139999997</v>
      </c>
      <c r="CE6" s="69">
        <v>2326274.809999997</v>
      </c>
      <c r="CF6" s="69">
        <v>2353644.4799999967</v>
      </c>
      <c r="CG6" s="69">
        <v>2417497.9199999967</v>
      </c>
      <c r="CH6" s="69">
        <v>2444867.5899999966</v>
      </c>
      <c r="CI6" s="69">
        <v>2472237.2599999965</v>
      </c>
      <c r="CJ6" s="69">
        <v>2499606.9299999964</v>
      </c>
      <c r="CK6" s="69">
        <v>2526976.5999999964</v>
      </c>
      <c r="CL6" s="69">
        <v>2556809.5399999963</v>
      </c>
      <c r="CM6" s="69">
        <v>2586642.4799999963</v>
      </c>
      <c r="CN6" s="69">
        <v>2616475.419999996</v>
      </c>
      <c r="CO6" s="69">
        <v>2646308.359999996</v>
      </c>
      <c r="CP6" s="69">
        <v>2676141.299999996</v>
      </c>
      <c r="CQ6" s="69">
        <v>2705974.239999996</v>
      </c>
      <c r="CR6" s="69">
        <v>2735807.179999996</v>
      </c>
      <c r="CS6" s="69">
        <v>2805407.429999996</v>
      </c>
      <c r="CT6" s="69">
        <v>2835240.369999996</v>
      </c>
      <c r="CU6" s="69">
        <v>2865073.309999996</v>
      </c>
      <c r="CV6" s="69">
        <v>2894906.249999996</v>
      </c>
      <c r="CW6" s="69">
        <v>2924739.1899999958</v>
      </c>
      <c r="CX6" s="69">
        <v>2954572.1299999957</v>
      </c>
      <c r="CY6" s="69">
        <v>2984405.0699999956</v>
      </c>
      <c r="CZ6" s="69">
        <v>3014238.0099999956</v>
      </c>
      <c r="DA6" s="69">
        <v>3044070.9499999955</v>
      </c>
      <c r="DB6" s="69">
        <v>3073903.8899999955</v>
      </c>
      <c r="DC6" s="69">
        <v>3103736.8299999954</v>
      </c>
      <c r="DD6" s="69">
        <v>3133569.7699999954</v>
      </c>
      <c r="DE6" s="69">
        <v>3203170.0199999954</v>
      </c>
      <c r="DF6" s="69">
        <v>3236256.1199999955</v>
      </c>
      <c r="DG6" s="69">
        <v>3269342.2199999955</v>
      </c>
      <c r="DH6" s="69">
        <v>3302428.3199999956</v>
      </c>
      <c r="DI6" s="69">
        <v>3335514.4199999957</v>
      </c>
      <c r="DJ6" s="69">
        <v>3368600.519999996</v>
      </c>
      <c r="DK6" s="69">
        <v>3401686.619999996</v>
      </c>
      <c r="DL6" s="69">
        <v>3434772.719999996</v>
      </c>
      <c r="DM6" s="69">
        <v>3467858.819999996</v>
      </c>
      <c r="DN6" s="69">
        <v>3500944.919999996</v>
      </c>
      <c r="DO6" s="69">
        <v>3534031.0199999963</v>
      </c>
      <c r="DP6" s="69">
        <v>3567117.1199999964</v>
      </c>
      <c r="DQ6" s="69">
        <v>3644306.9899999965</v>
      </c>
      <c r="DR6" s="69">
        <v>3677393.0899999966</v>
      </c>
      <c r="DS6" s="69">
        <v>3710479.1899999967</v>
      </c>
      <c r="DT6" s="69">
        <v>3743565.289999997</v>
      </c>
      <c r="DU6" s="69">
        <v>3780259.289999997</v>
      </c>
      <c r="DV6" s="69">
        <v>3816953.289999997</v>
      </c>
      <c r="DW6" s="69">
        <v>3853647.289999997</v>
      </c>
      <c r="DX6" s="69">
        <v>3890341.289999997</v>
      </c>
      <c r="DY6" s="69">
        <v>3927035.289999997</v>
      </c>
      <c r="DZ6" s="69">
        <v>3963729.289999997</v>
      </c>
      <c r="EA6" s="69">
        <v>4000423.289999997</v>
      </c>
      <c r="EB6" s="69">
        <v>4037117.289999997</v>
      </c>
      <c r="EC6" s="69">
        <v>4122724.389999997</v>
      </c>
      <c r="ED6" s="69">
        <v>4159418.389999997</v>
      </c>
      <c r="EE6" s="69">
        <v>4196112.389999997</v>
      </c>
      <c r="EF6" s="69">
        <v>4232806.389999997</v>
      </c>
      <c r="EG6" s="69">
        <v>4269500.389999997</v>
      </c>
      <c r="EH6" s="69">
        <v>4306194.389999997</v>
      </c>
      <c r="EI6" s="69">
        <v>4342888.389999997</v>
      </c>
      <c r="EJ6" s="69">
        <v>4379582.389999997</v>
      </c>
      <c r="EK6" s="69">
        <v>4416276.389999997</v>
      </c>
      <c r="EL6" s="69">
        <v>4452970.389999997</v>
      </c>
      <c r="EM6" s="69">
        <v>4489664.389999997</v>
      </c>
      <c r="EN6" s="69">
        <v>4526358.389999997</v>
      </c>
      <c r="EO6" s="69">
        <v>4611965.4899999965</v>
      </c>
    </row>
    <row r="7">
      <c r="A7" s="68" t="s">
        <v>80</v>
      </c>
      <c r="B7" s="48">
        <v>15398.42</v>
      </c>
      <c r="C7" s="48">
        <v>30796.84</v>
      </c>
      <c r="D7" s="48">
        <v>46195.26</v>
      </c>
      <c r="E7" s="48">
        <v>61593.68</v>
      </c>
      <c r="F7" s="48">
        <v>76992.1</v>
      </c>
      <c r="G7" s="48">
        <v>92390.52</v>
      </c>
      <c r="H7" s="48">
        <v>107788.94</v>
      </c>
      <c r="I7" s="48">
        <v>125943.95</v>
      </c>
      <c r="J7" s="48">
        <v>144098.96</v>
      </c>
      <c r="K7" s="48">
        <v>162253.97</v>
      </c>
      <c r="L7" s="48">
        <v>180408.98</v>
      </c>
      <c r="M7" s="48">
        <v>222764.63</v>
      </c>
      <c r="N7" s="48">
        <v>242118.33000000002</v>
      </c>
      <c r="O7" s="48">
        <v>261472.03000000003</v>
      </c>
      <c r="P7" s="48">
        <v>280825.73000000004</v>
      </c>
      <c r="Q7" s="48">
        <v>300179.43000000005</v>
      </c>
      <c r="R7" s="48">
        <v>319533.13000000006</v>
      </c>
      <c r="S7" s="48">
        <v>338886.8300000001</v>
      </c>
      <c r="T7" s="48">
        <v>358240.5300000001</v>
      </c>
      <c r="U7" s="48">
        <v>377594.2300000001</v>
      </c>
      <c r="V7" s="48">
        <v>396947.9300000001</v>
      </c>
      <c r="W7" s="48">
        <v>416301.6300000001</v>
      </c>
      <c r="X7" s="48">
        <v>435655.33000000013</v>
      </c>
      <c r="Y7" s="48">
        <v>480807.5100000001</v>
      </c>
      <c r="Z7" s="48">
        <v>502745.85000000015</v>
      </c>
      <c r="AA7" s="48">
        <v>524684.1900000002</v>
      </c>
      <c r="AB7" s="48">
        <v>546622.5300000001</v>
      </c>
      <c r="AC7" s="48">
        <v>568560.8700000001</v>
      </c>
      <c r="AD7" s="48">
        <v>590499.2100000001</v>
      </c>
      <c r="AE7" s="48">
        <v>612437.55</v>
      </c>
      <c r="AF7" s="48">
        <v>634375.89</v>
      </c>
      <c r="AG7" s="48">
        <v>656314.23</v>
      </c>
      <c r="AH7" s="48">
        <v>678252.57</v>
      </c>
      <c r="AI7" s="48">
        <v>700190.9099999999</v>
      </c>
      <c r="AJ7" s="48">
        <v>722129.2499999999</v>
      </c>
      <c r="AK7" s="48">
        <v>774196.2899999999</v>
      </c>
      <c r="AL7" s="48">
        <v>797392.0299999999</v>
      </c>
      <c r="AM7" s="48">
        <v>820587.7699999999</v>
      </c>
      <c r="AN7" s="48">
        <v>843783.5099999999</v>
      </c>
      <c r="AO7" s="48">
        <v>866979.2499999999</v>
      </c>
      <c r="AP7" s="48">
        <v>890174.9899999999</v>
      </c>
      <c r="AQ7" s="48">
        <v>913370.7299999999</v>
      </c>
      <c r="AR7" s="48">
        <v>936566.4699999999</v>
      </c>
      <c r="AS7" s="48">
        <v>959762.2099999998</v>
      </c>
      <c r="AT7" s="48">
        <v>982957.9499999998</v>
      </c>
      <c r="AU7" s="48">
        <v>1006153.6899999998</v>
      </c>
      <c r="AV7" s="48">
        <v>1029349.4299999998</v>
      </c>
      <c r="AW7" s="48">
        <v>1083465.0899999999</v>
      </c>
      <c r="AX7" s="48">
        <v>1107074.2899999998</v>
      </c>
      <c r="AY7" s="48">
        <v>1130683.4899999998</v>
      </c>
      <c r="AZ7" s="48">
        <v>1153553.3899999997</v>
      </c>
      <c r="BA7" s="48">
        <v>1176423.2899999996</v>
      </c>
      <c r="BB7" s="48">
        <v>1199293.1899999995</v>
      </c>
      <c r="BC7" s="48">
        <v>1222163.0899999994</v>
      </c>
      <c r="BD7" s="48">
        <v>1245032.9899999993</v>
      </c>
      <c r="BE7" s="48">
        <v>1267902.8899999992</v>
      </c>
      <c r="BF7" s="48">
        <v>1290772.789999999</v>
      </c>
      <c r="BG7" s="48">
        <v>1313642.689999999</v>
      </c>
      <c r="BH7" s="48">
        <v>1336512.589999999</v>
      </c>
      <c r="BI7" s="48">
        <v>1389868.069999999</v>
      </c>
      <c r="BJ7" s="48">
        <v>1413722.0199999989</v>
      </c>
      <c r="BK7" s="48">
        <v>1437575.9699999988</v>
      </c>
      <c r="BL7" s="48">
        <v>1461429.9199999988</v>
      </c>
      <c r="BM7" s="48">
        <v>1485283.8699999987</v>
      </c>
      <c r="BN7" s="48">
        <v>1509137.8199999987</v>
      </c>
      <c r="BO7" s="48">
        <v>1532991.7699999986</v>
      </c>
      <c r="BP7" s="48">
        <v>1556845.7199999986</v>
      </c>
      <c r="BQ7" s="48">
        <v>1580699.6699999985</v>
      </c>
      <c r="BR7" s="48">
        <v>1604553.6199999985</v>
      </c>
      <c r="BS7" s="48">
        <v>1628407.5699999984</v>
      </c>
      <c r="BT7" s="48">
        <v>1652261.5199999984</v>
      </c>
      <c r="BU7" s="48">
        <v>1707912.7699999984</v>
      </c>
      <c r="BV7" s="48">
        <v>1733936.5699999984</v>
      </c>
      <c r="BW7" s="48">
        <v>1759960.3699999985</v>
      </c>
      <c r="BX7" s="48">
        <v>1785984.1699999985</v>
      </c>
      <c r="BY7" s="48">
        <v>1812007.9699999986</v>
      </c>
      <c r="BZ7" s="48">
        <v>1838031.7699999986</v>
      </c>
      <c r="CA7" s="48">
        <v>1864055.5699999987</v>
      </c>
      <c r="CB7" s="48">
        <v>1890079.3699999987</v>
      </c>
      <c r="CC7" s="48">
        <v>1916103.1699999988</v>
      </c>
      <c r="CD7" s="69">
        <v>1942126.9699999988</v>
      </c>
      <c r="CE7" s="69">
        <v>1968150.7699999989</v>
      </c>
      <c r="CF7" s="69">
        <v>1994174.569999999</v>
      </c>
      <c r="CG7" s="69">
        <v>2054888.099999999</v>
      </c>
      <c r="CH7" s="69">
        <v>2081070.7399999988</v>
      </c>
      <c r="CI7" s="69">
        <v>2107255.049999999</v>
      </c>
      <c r="CJ7" s="69">
        <v>2133439.359999999</v>
      </c>
      <c r="CK7" s="69">
        <v>2161114.6199999987</v>
      </c>
      <c r="CL7" s="69">
        <v>2188687.2899999986</v>
      </c>
      <c r="CM7" s="69">
        <v>2216259.9599999986</v>
      </c>
      <c r="CN7" s="69">
        <v>2243832.6299999985</v>
      </c>
      <c r="CO7" s="69">
        <v>2271405.2999999984</v>
      </c>
      <c r="CP7" s="69">
        <v>2298977.9699999983</v>
      </c>
      <c r="CQ7" s="69">
        <v>2326550.6399999983</v>
      </c>
      <c r="CR7" s="69">
        <v>2354123.309999998</v>
      </c>
      <c r="CS7" s="69">
        <v>2418450.359999998</v>
      </c>
      <c r="CT7" s="69">
        <v>2446053.419999998</v>
      </c>
      <c r="CU7" s="69">
        <v>2475334.049999998</v>
      </c>
      <c r="CV7" s="69">
        <v>2504614.679999998</v>
      </c>
      <c r="CW7" s="69">
        <v>2533895.3099999977</v>
      </c>
      <c r="CX7" s="69">
        <v>2563175.9399999976</v>
      </c>
      <c r="CY7" s="69">
        <v>2592456.5699999975</v>
      </c>
      <c r="CZ7" s="69">
        <v>2621737.1999999974</v>
      </c>
      <c r="DA7" s="69">
        <v>2651017.8299999973</v>
      </c>
      <c r="DB7" s="69">
        <v>2680298.459999997</v>
      </c>
      <c r="DC7" s="69">
        <v>2709579.089999997</v>
      </c>
      <c r="DD7" s="69">
        <v>2738859.719999997</v>
      </c>
      <c r="DE7" s="69">
        <v>2807171.439999997</v>
      </c>
      <c r="DF7" s="69">
        <v>2836452.069999997</v>
      </c>
      <c r="DG7" s="69">
        <v>2867399.279999997</v>
      </c>
      <c r="DH7" s="69">
        <v>2898346.489999997</v>
      </c>
      <c r="DI7" s="69">
        <v>2929293.699999997</v>
      </c>
      <c r="DJ7" s="69">
        <v>2960240.909999997</v>
      </c>
      <c r="DK7" s="69">
        <v>2991188.119999997</v>
      </c>
      <c r="DL7" s="69">
        <v>3022135.329999997</v>
      </c>
      <c r="DM7" s="69">
        <v>3053082.539999997</v>
      </c>
      <c r="DN7" s="69">
        <v>3084029.7499999967</v>
      </c>
      <c r="DO7" s="69">
        <v>3114976.9599999967</v>
      </c>
      <c r="DP7" s="69">
        <v>3145924.1699999967</v>
      </c>
      <c r="DQ7" s="69">
        <v>3218124.0199999968</v>
      </c>
      <c r="DR7" s="69">
        <v>3249071.2299999967</v>
      </c>
      <c r="DS7" s="69">
        <v>3280018.4399999967</v>
      </c>
      <c r="DT7" s="69">
        <v>3310965.6499999966</v>
      </c>
      <c r="DU7" s="69">
        <v>3341912.8599999966</v>
      </c>
      <c r="DV7" s="69">
        <v>3372860.0699999966</v>
      </c>
      <c r="DW7" s="69">
        <v>3403807.2799999965</v>
      </c>
      <c r="DX7" s="69">
        <v>3434754.4899999965</v>
      </c>
      <c r="DY7" s="69">
        <v>3465701.6999999965</v>
      </c>
      <c r="DZ7" s="69">
        <v>3496648.9099999964</v>
      </c>
      <c r="EA7" s="69">
        <v>3527596.1199999964</v>
      </c>
      <c r="EB7" s="69">
        <v>3558543.3299999963</v>
      </c>
      <c r="EC7" s="69">
        <v>3630743.1799999964</v>
      </c>
      <c r="ED7" s="69">
        <v>3661690.3899999964</v>
      </c>
      <c r="EE7" s="69">
        <v>3692637.5999999964</v>
      </c>
      <c r="EF7" s="69">
        <v>3723584.8099999963</v>
      </c>
      <c r="EG7" s="69">
        <v>3754532.0199999963</v>
      </c>
      <c r="EH7" s="69">
        <v>3785479.2299999963</v>
      </c>
      <c r="EI7" s="69">
        <v>3816426.439999996</v>
      </c>
      <c r="EJ7" s="69">
        <v>3847373.649999996</v>
      </c>
      <c r="EK7" s="69">
        <v>3878320.859999996</v>
      </c>
      <c r="EL7" s="69">
        <v>3909268.069999996</v>
      </c>
      <c r="EM7" s="69">
        <v>3940215.279999996</v>
      </c>
      <c r="EN7" s="69">
        <v>3971162.489999996</v>
      </c>
      <c r="EO7" s="69">
        <v>4043362.339999996</v>
      </c>
    </row>
    <row r="8">
      <c r="A8" s="68" t="s">
        <v>81</v>
      </c>
      <c r="B8" s="48">
        <v>15398.42</v>
      </c>
      <c r="C8" s="48">
        <v>30796.84</v>
      </c>
      <c r="D8" s="48">
        <v>46195.26</v>
      </c>
      <c r="E8" s="48">
        <v>61593.68</v>
      </c>
      <c r="F8" s="48">
        <v>76992.1</v>
      </c>
      <c r="G8" s="48">
        <v>92390.52</v>
      </c>
      <c r="H8" s="48">
        <v>107788.94</v>
      </c>
      <c r="I8" s="48">
        <v>123986.46</v>
      </c>
      <c r="J8" s="48">
        <v>140183.98</v>
      </c>
      <c r="K8" s="48">
        <v>156381.5</v>
      </c>
      <c r="L8" s="48">
        <v>172579.02</v>
      </c>
      <c r="M8" s="48">
        <v>210367.83</v>
      </c>
      <c r="N8" s="48">
        <v>227635.13999999998</v>
      </c>
      <c r="O8" s="48">
        <v>244902.44999999998</v>
      </c>
      <c r="P8" s="48">
        <v>262169.76</v>
      </c>
      <c r="Q8" s="48">
        <v>279437.07</v>
      </c>
      <c r="R8" s="48">
        <v>296704.38</v>
      </c>
      <c r="S8" s="48">
        <v>313971.69</v>
      </c>
      <c r="T8" s="48">
        <v>331239.0</v>
      </c>
      <c r="U8" s="48">
        <v>348506.31</v>
      </c>
      <c r="V8" s="48">
        <v>365773.62</v>
      </c>
      <c r="W8" s="48">
        <v>383040.93</v>
      </c>
      <c r="X8" s="48">
        <v>400308.24</v>
      </c>
      <c r="Y8" s="48">
        <v>440592.86</v>
      </c>
      <c r="Z8" s="48">
        <v>458948.91</v>
      </c>
      <c r="AA8" s="48">
        <v>477304.95999999996</v>
      </c>
      <c r="AB8" s="48">
        <v>495661.00999999995</v>
      </c>
      <c r="AC8" s="48">
        <v>514017.05999999994</v>
      </c>
      <c r="AD8" s="48">
        <v>532373.11</v>
      </c>
      <c r="AE8" s="48">
        <v>550729.16</v>
      </c>
      <c r="AF8" s="48">
        <v>569085.2100000001</v>
      </c>
      <c r="AG8" s="48">
        <v>587441.2600000001</v>
      </c>
      <c r="AH8" s="48">
        <v>605797.3100000002</v>
      </c>
      <c r="AI8" s="48">
        <v>624153.3600000002</v>
      </c>
      <c r="AJ8" s="48">
        <v>642509.4100000003</v>
      </c>
      <c r="AK8" s="48">
        <v>685334.0700000003</v>
      </c>
      <c r="AL8" s="48">
        <v>704793.2000000003</v>
      </c>
      <c r="AM8" s="48">
        <v>724252.3300000003</v>
      </c>
      <c r="AN8" s="48">
        <v>743711.4600000003</v>
      </c>
      <c r="AO8" s="48">
        <v>763170.5900000003</v>
      </c>
      <c r="AP8" s="48">
        <v>782629.7200000003</v>
      </c>
      <c r="AQ8" s="48">
        <v>802088.8500000003</v>
      </c>
      <c r="AR8" s="48">
        <v>821547.9800000003</v>
      </c>
      <c r="AS8" s="48">
        <v>841007.1100000003</v>
      </c>
      <c r="AT8" s="48">
        <v>860466.2400000003</v>
      </c>
      <c r="AU8" s="48">
        <v>879925.3700000003</v>
      </c>
      <c r="AV8" s="48">
        <v>899384.5000000003</v>
      </c>
      <c r="AW8" s="48">
        <v>944782.6500000004</v>
      </c>
      <c r="AX8" s="48">
        <v>964241.7800000004</v>
      </c>
      <c r="AY8" s="48">
        <v>983700.9100000004</v>
      </c>
      <c r="AZ8" s="48">
        <v>1002143.6800000004</v>
      </c>
      <c r="BA8" s="48">
        <v>1020586.4500000004</v>
      </c>
      <c r="BB8" s="48">
        <v>1039029.2200000004</v>
      </c>
      <c r="BC8" s="48">
        <v>1057471.9900000005</v>
      </c>
      <c r="BD8" s="48">
        <v>1075914.7600000005</v>
      </c>
      <c r="BE8" s="48">
        <v>1094357.5300000005</v>
      </c>
      <c r="BF8" s="48">
        <v>1112800.3000000005</v>
      </c>
      <c r="BG8" s="48">
        <v>1131243.0700000005</v>
      </c>
      <c r="BH8" s="48">
        <v>1149685.8400000005</v>
      </c>
      <c r="BI8" s="48">
        <v>1192712.8300000005</v>
      </c>
      <c r="BJ8" s="48">
        <v>1211191.2400000005</v>
      </c>
      <c r="BK8" s="48">
        <v>1229669.6500000004</v>
      </c>
      <c r="BL8" s="48">
        <v>1248148.0600000003</v>
      </c>
      <c r="BM8" s="48">
        <v>1266626.4700000002</v>
      </c>
      <c r="BN8" s="48">
        <v>1285104.8800000001</v>
      </c>
      <c r="BO8" s="48">
        <v>1303583.29</v>
      </c>
      <c r="BP8" s="48">
        <v>1322061.7</v>
      </c>
      <c r="BQ8" s="48">
        <v>1340540.1099999999</v>
      </c>
      <c r="BR8" s="48">
        <v>1359018.5199999998</v>
      </c>
      <c r="BS8" s="48">
        <v>1377496.9299999997</v>
      </c>
      <c r="BT8" s="48">
        <v>1395975.3399999996</v>
      </c>
      <c r="BU8" s="48">
        <v>1439085.4599999997</v>
      </c>
      <c r="BV8" s="48">
        <v>1457633.9899999998</v>
      </c>
      <c r="BW8" s="48">
        <v>1476182.5199999998</v>
      </c>
      <c r="BX8" s="48">
        <v>1494731.0499999998</v>
      </c>
      <c r="BY8" s="48">
        <v>1513279.5799999998</v>
      </c>
      <c r="BZ8" s="48">
        <v>1531828.1099999999</v>
      </c>
      <c r="CA8" s="48">
        <v>1550376.64</v>
      </c>
      <c r="CB8" s="48">
        <v>1568925.17</v>
      </c>
      <c r="CC8" s="48">
        <v>1587473.7</v>
      </c>
      <c r="CD8" s="69">
        <v>1606022.23</v>
      </c>
      <c r="CE8" s="69">
        <v>1624570.76</v>
      </c>
      <c r="CF8" s="69">
        <v>1643119.29</v>
      </c>
      <c r="CG8" s="69">
        <v>1686393.02</v>
      </c>
      <c r="CH8" s="69">
        <v>1704986.84</v>
      </c>
      <c r="CI8" s="69">
        <v>1723580.6600000001</v>
      </c>
      <c r="CJ8" s="69">
        <v>1742174.4800000002</v>
      </c>
      <c r="CK8" s="69">
        <v>1760768.3000000003</v>
      </c>
      <c r="CL8" s="69">
        <v>1780900.6100000003</v>
      </c>
      <c r="CM8" s="69">
        <v>1801032.9200000004</v>
      </c>
      <c r="CN8" s="69">
        <v>1821165.2300000004</v>
      </c>
      <c r="CO8" s="69">
        <v>1841297.5400000005</v>
      </c>
      <c r="CP8" s="69">
        <v>1861429.8500000006</v>
      </c>
      <c r="CQ8" s="69">
        <v>1881562.1600000006</v>
      </c>
      <c r="CR8" s="69">
        <v>1901694.4700000007</v>
      </c>
      <c r="CS8" s="69">
        <v>1948663.1400000006</v>
      </c>
      <c r="CT8" s="69">
        <v>1968825.8400000005</v>
      </c>
      <c r="CU8" s="69">
        <v>1988999.5800000005</v>
      </c>
      <c r="CV8" s="69">
        <v>2009173.3200000005</v>
      </c>
      <c r="CW8" s="69">
        <v>2029347.0600000005</v>
      </c>
      <c r="CX8" s="69">
        <v>2049520.8000000005</v>
      </c>
      <c r="CY8" s="69">
        <v>2069694.5400000005</v>
      </c>
      <c r="CZ8" s="69">
        <v>2089868.2800000005</v>
      </c>
      <c r="DA8" s="69">
        <v>2110042.0200000005</v>
      </c>
      <c r="DB8" s="69">
        <v>2130215.7600000007</v>
      </c>
      <c r="DC8" s="69">
        <v>2150389.500000001</v>
      </c>
      <c r="DD8" s="69">
        <v>2170563.240000001</v>
      </c>
      <c r="DE8" s="69">
        <v>2217628.570000001</v>
      </c>
      <c r="DF8" s="69">
        <v>2239813.280000001</v>
      </c>
      <c r="DG8" s="69">
        <v>2261997.990000001</v>
      </c>
      <c r="DH8" s="69">
        <v>2284182.700000001</v>
      </c>
      <c r="DI8" s="69">
        <v>2306367.410000001</v>
      </c>
      <c r="DJ8" s="69">
        <v>2328552.120000001</v>
      </c>
      <c r="DK8" s="69">
        <v>2350736.830000001</v>
      </c>
      <c r="DL8" s="69">
        <v>2372921.540000001</v>
      </c>
      <c r="DM8" s="69">
        <v>2395106.250000001</v>
      </c>
      <c r="DN8" s="69">
        <v>2417290.960000001</v>
      </c>
      <c r="DO8" s="69">
        <v>2439475.670000001</v>
      </c>
      <c r="DP8" s="69">
        <v>2461660.380000001</v>
      </c>
      <c r="DQ8" s="69">
        <v>2513417.3000000007</v>
      </c>
      <c r="DR8" s="69">
        <v>2535602.0100000007</v>
      </c>
      <c r="DS8" s="69">
        <v>2557786.7200000007</v>
      </c>
      <c r="DT8" s="69">
        <v>2579971.4300000006</v>
      </c>
      <c r="DU8" s="69">
        <v>2604386.3900000006</v>
      </c>
      <c r="DV8" s="69">
        <v>2628801.3500000006</v>
      </c>
      <c r="DW8" s="69">
        <v>2653216.3100000005</v>
      </c>
      <c r="DX8" s="69">
        <v>2677631.2700000005</v>
      </c>
      <c r="DY8" s="69">
        <v>2702046.2300000004</v>
      </c>
      <c r="DZ8" s="69">
        <v>2726461.1900000004</v>
      </c>
      <c r="EA8" s="69">
        <v>2750876.1500000004</v>
      </c>
      <c r="EB8" s="69">
        <v>2775291.1100000003</v>
      </c>
      <c r="EC8" s="69">
        <v>2832251.2100000004</v>
      </c>
      <c r="ED8" s="69">
        <v>2856666.1700000004</v>
      </c>
      <c r="EE8" s="69">
        <v>2881081.1300000004</v>
      </c>
      <c r="EF8" s="69">
        <v>2905496.0900000003</v>
      </c>
      <c r="EG8" s="69">
        <v>2929911.0500000003</v>
      </c>
      <c r="EH8" s="69">
        <v>2954326.0100000002</v>
      </c>
      <c r="EI8" s="69">
        <v>2978740.97</v>
      </c>
      <c r="EJ8" s="69">
        <v>3003155.93</v>
      </c>
      <c r="EK8" s="69">
        <v>3027570.89</v>
      </c>
      <c r="EL8" s="69">
        <v>3051985.85</v>
      </c>
      <c r="EM8" s="69">
        <v>3076400.81</v>
      </c>
      <c r="EN8" s="69">
        <v>3100815.77</v>
      </c>
      <c r="EO8" s="69">
        <v>3157775.87</v>
      </c>
    </row>
    <row r="9">
      <c r="A9" s="68" t="s">
        <v>82</v>
      </c>
      <c r="B9" s="48">
        <v>15398.37</v>
      </c>
      <c r="C9" s="48">
        <v>30796.74</v>
      </c>
      <c r="D9" s="48">
        <v>46195.11</v>
      </c>
      <c r="E9" s="48">
        <v>61593.48</v>
      </c>
      <c r="F9" s="48">
        <v>76991.85</v>
      </c>
      <c r="G9" s="48">
        <v>92390.22</v>
      </c>
      <c r="H9" s="48">
        <v>107788.59</v>
      </c>
      <c r="I9" s="48">
        <v>123186.95999999999</v>
      </c>
      <c r="J9" s="48">
        <v>140542.83</v>
      </c>
      <c r="K9" s="48">
        <v>157898.69999999998</v>
      </c>
      <c r="L9" s="48">
        <v>175254.56999999998</v>
      </c>
      <c r="M9" s="48">
        <v>215745.83</v>
      </c>
      <c r="N9" s="48">
        <v>234667.19999999998</v>
      </c>
      <c r="O9" s="48">
        <v>253588.56999999998</v>
      </c>
      <c r="P9" s="48">
        <v>272509.94</v>
      </c>
      <c r="Q9" s="48">
        <v>291431.31</v>
      </c>
      <c r="R9" s="48">
        <v>310352.68</v>
      </c>
      <c r="S9" s="48">
        <v>329274.05</v>
      </c>
      <c r="T9" s="48">
        <v>348195.42</v>
      </c>
      <c r="U9" s="48">
        <v>367116.79</v>
      </c>
      <c r="V9" s="48">
        <v>386038.16</v>
      </c>
      <c r="W9" s="48">
        <v>404959.52999999997</v>
      </c>
      <c r="X9" s="48">
        <v>423880.89999999997</v>
      </c>
      <c r="Y9" s="48">
        <v>468024.47</v>
      </c>
      <c r="Z9" s="48">
        <v>487710.33999999997</v>
      </c>
      <c r="AA9" s="48">
        <v>507396.20999999996</v>
      </c>
      <c r="AB9" s="48">
        <v>527082.08</v>
      </c>
      <c r="AC9" s="48">
        <v>546767.95</v>
      </c>
      <c r="AD9" s="48">
        <v>566453.82</v>
      </c>
      <c r="AE9" s="48">
        <v>586139.69</v>
      </c>
      <c r="AF9" s="48">
        <v>605825.5599999999</v>
      </c>
      <c r="AG9" s="48">
        <v>625511.4299999999</v>
      </c>
      <c r="AH9" s="48">
        <v>645197.2999999999</v>
      </c>
      <c r="AI9" s="48">
        <v>664883.1699999999</v>
      </c>
      <c r="AJ9" s="48">
        <v>684569.0399999999</v>
      </c>
      <c r="AK9" s="48">
        <v>730496.1599999999</v>
      </c>
      <c r="AL9" s="48">
        <v>750940.6799999999</v>
      </c>
      <c r="AM9" s="48">
        <v>771385.2</v>
      </c>
      <c r="AN9" s="48">
        <v>791829.72</v>
      </c>
      <c r="AO9" s="48">
        <v>812274.24</v>
      </c>
      <c r="AP9" s="48">
        <v>832718.76</v>
      </c>
      <c r="AQ9" s="48">
        <v>853163.28</v>
      </c>
      <c r="AR9" s="48">
        <v>873607.8</v>
      </c>
      <c r="AS9" s="48">
        <v>894052.3200000001</v>
      </c>
      <c r="AT9" s="48">
        <v>914496.8400000001</v>
      </c>
      <c r="AU9" s="48">
        <v>934941.3600000001</v>
      </c>
      <c r="AV9" s="48">
        <v>955385.8800000001</v>
      </c>
      <c r="AW9" s="48">
        <v>1003082.9400000002</v>
      </c>
      <c r="AX9" s="48">
        <v>1023527.4600000002</v>
      </c>
      <c r="AY9" s="48">
        <v>1043971.9800000002</v>
      </c>
      <c r="AZ9" s="48">
        <v>1063487.5200000003</v>
      </c>
      <c r="BA9" s="48">
        <v>1083003.0600000003</v>
      </c>
      <c r="BB9" s="48">
        <v>1102518.6000000003</v>
      </c>
      <c r="BC9" s="48">
        <v>1122034.1400000004</v>
      </c>
      <c r="BD9" s="48">
        <v>1141549.6800000004</v>
      </c>
      <c r="BE9" s="48">
        <v>1161065.2200000004</v>
      </c>
      <c r="BF9" s="48">
        <v>1180580.7600000005</v>
      </c>
      <c r="BG9" s="48">
        <v>1200096.3000000005</v>
      </c>
      <c r="BH9" s="48">
        <v>1219611.8400000005</v>
      </c>
      <c r="BI9" s="48">
        <v>1265141.6000000006</v>
      </c>
      <c r="BJ9" s="48">
        <v>1284692.7800000005</v>
      </c>
      <c r="BK9" s="48">
        <v>1304243.9600000004</v>
      </c>
      <c r="BL9" s="48">
        <v>1323795.1400000004</v>
      </c>
      <c r="BM9" s="48">
        <v>1343346.3200000003</v>
      </c>
      <c r="BN9" s="48">
        <v>1362897.5000000002</v>
      </c>
      <c r="BO9" s="48">
        <v>1382448.6800000002</v>
      </c>
      <c r="BP9" s="48">
        <v>1401999.86</v>
      </c>
      <c r="BQ9" s="48">
        <v>1421551.04</v>
      </c>
      <c r="BR9" s="48">
        <v>1441102.22</v>
      </c>
      <c r="BS9" s="48">
        <v>1460653.4</v>
      </c>
      <c r="BT9" s="48">
        <v>1480204.5799999998</v>
      </c>
      <c r="BU9" s="48">
        <v>1525817.4899999998</v>
      </c>
      <c r="BV9" s="48">
        <v>1545438.7999999998</v>
      </c>
      <c r="BW9" s="48">
        <v>1565060.1099999999</v>
      </c>
      <c r="BX9" s="48">
        <v>1584681.42</v>
      </c>
      <c r="BY9" s="48">
        <v>1604302.73</v>
      </c>
      <c r="BZ9" s="48">
        <v>1623924.04</v>
      </c>
      <c r="CA9" s="48">
        <v>1643545.35</v>
      </c>
      <c r="CB9" s="48">
        <v>1663166.6600000001</v>
      </c>
      <c r="CC9" s="48">
        <v>1682787.9700000002</v>
      </c>
      <c r="CD9" s="69">
        <v>1702409.2800000003</v>
      </c>
      <c r="CE9" s="69">
        <v>1722030.5900000003</v>
      </c>
      <c r="CF9" s="69">
        <v>1741651.9000000004</v>
      </c>
      <c r="CG9" s="69">
        <v>1787428.4200000004</v>
      </c>
      <c r="CH9" s="69">
        <v>1807095.0100000005</v>
      </c>
      <c r="CI9" s="69">
        <v>1826761.6000000006</v>
      </c>
      <c r="CJ9" s="69">
        <v>1846428.1900000006</v>
      </c>
      <c r="CK9" s="69">
        <v>1866094.7800000007</v>
      </c>
      <c r="CL9" s="69">
        <v>1887220.2400000007</v>
      </c>
      <c r="CM9" s="69">
        <v>1908345.7000000007</v>
      </c>
      <c r="CN9" s="69">
        <v>1929471.1600000006</v>
      </c>
      <c r="CO9" s="69">
        <v>1950596.6200000006</v>
      </c>
      <c r="CP9" s="69">
        <v>1971722.0800000005</v>
      </c>
      <c r="CQ9" s="69">
        <v>1992847.5400000005</v>
      </c>
      <c r="CR9" s="69">
        <v>2013973.0000000005</v>
      </c>
      <c r="CS9" s="69">
        <v>2063258.7000000004</v>
      </c>
      <c r="CT9" s="69">
        <v>2084414.5500000005</v>
      </c>
      <c r="CU9" s="69">
        <v>2106560.1900000004</v>
      </c>
      <c r="CV9" s="69">
        <v>2128705.8300000005</v>
      </c>
      <c r="CW9" s="69">
        <v>2150851.4700000007</v>
      </c>
      <c r="CX9" s="69">
        <v>2172997.110000001</v>
      </c>
      <c r="CY9" s="69">
        <v>2195142.750000001</v>
      </c>
      <c r="CZ9" s="69">
        <v>2217288.390000001</v>
      </c>
      <c r="DA9" s="69">
        <v>2239760.280000001</v>
      </c>
      <c r="DB9" s="69">
        <v>2262232.1700000013</v>
      </c>
      <c r="DC9" s="69">
        <v>2284704.0600000015</v>
      </c>
      <c r="DD9" s="69">
        <v>2307175.9500000016</v>
      </c>
      <c r="DE9" s="69">
        <v>2359602.8700000015</v>
      </c>
      <c r="DF9" s="69">
        <v>2382074.7600000016</v>
      </c>
      <c r="DG9" s="69">
        <v>2405851.650000002</v>
      </c>
      <c r="DH9" s="69">
        <v>2429628.540000002</v>
      </c>
      <c r="DI9" s="69">
        <v>2453405.430000002</v>
      </c>
      <c r="DJ9" s="69">
        <v>2477182.320000002</v>
      </c>
      <c r="DK9" s="69">
        <v>2500959.2100000023</v>
      </c>
      <c r="DL9" s="69">
        <v>2524736.1000000024</v>
      </c>
      <c r="DM9" s="69">
        <v>2548512.9900000026</v>
      </c>
      <c r="DN9" s="69">
        <v>2572289.8800000027</v>
      </c>
      <c r="DO9" s="69">
        <v>2596066.770000003</v>
      </c>
      <c r="DP9" s="69">
        <v>2619843.660000003</v>
      </c>
      <c r="DQ9" s="69">
        <v>2675315.150000003</v>
      </c>
      <c r="DR9" s="69">
        <v>2699092.0400000033</v>
      </c>
      <c r="DS9" s="69">
        <v>2722868.9300000034</v>
      </c>
      <c r="DT9" s="69">
        <v>2746645.8200000036</v>
      </c>
      <c r="DU9" s="69">
        <v>2773358.9600000037</v>
      </c>
      <c r="DV9" s="69">
        <v>2800072.100000004</v>
      </c>
      <c r="DW9" s="69">
        <v>2826785.240000004</v>
      </c>
      <c r="DX9" s="69">
        <v>2853498.380000004</v>
      </c>
      <c r="DY9" s="69">
        <v>2880211.520000004</v>
      </c>
      <c r="DZ9" s="69">
        <v>2906924.6600000043</v>
      </c>
      <c r="EA9" s="69">
        <v>2933637.8000000045</v>
      </c>
      <c r="EB9" s="69">
        <v>2960350.9400000046</v>
      </c>
      <c r="EC9" s="69">
        <v>3022672.7000000044</v>
      </c>
      <c r="ED9" s="69">
        <v>3049385.8400000045</v>
      </c>
      <c r="EE9" s="69">
        <v>3076361.6100000045</v>
      </c>
      <c r="EF9" s="69">
        <v>3103337.3800000045</v>
      </c>
      <c r="EG9" s="69">
        <v>3130313.1500000046</v>
      </c>
      <c r="EH9" s="69">
        <v>3157288.9200000046</v>
      </c>
      <c r="EI9" s="69">
        <v>3184264.6900000046</v>
      </c>
      <c r="EJ9" s="69">
        <v>3211240.4600000046</v>
      </c>
      <c r="EK9" s="69">
        <v>3238216.2300000046</v>
      </c>
      <c r="EL9" s="69">
        <v>3265192.0000000047</v>
      </c>
      <c r="EM9" s="69">
        <v>3292167.7700000047</v>
      </c>
      <c r="EN9" s="69">
        <v>3319143.5400000047</v>
      </c>
      <c r="EO9" s="69">
        <v>3382078.010000005</v>
      </c>
    </row>
    <row r="10">
      <c r="A10" s="68" t="s">
        <v>83</v>
      </c>
      <c r="B10" s="48">
        <v>15398.42</v>
      </c>
      <c r="C10" s="48">
        <v>30796.84</v>
      </c>
      <c r="D10" s="48">
        <v>46195.26</v>
      </c>
      <c r="E10" s="48">
        <v>61593.68</v>
      </c>
      <c r="F10" s="48">
        <v>76992.1</v>
      </c>
      <c r="G10" s="48">
        <v>92390.52</v>
      </c>
      <c r="H10" s="48">
        <v>107788.94</v>
      </c>
      <c r="I10" s="48">
        <v>123986.46</v>
      </c>
      <c r="J10" s="48">
        <v>140183.98</v>
      </c>
      <c r="K10" s="48">
        <v>156381.5</v>
      </c>
      <c r="L10" s="48">
        <v>172579.02</v>
      </c>
      <c r="M10" s="48">
        <v>210367.83</v>
      </c>
      <c r="N10" s="48">
        <v>227635.13999999998</v>
      </c>
      <c r="O10" s="48">
        <v>244902.44999999998</v>
      </c>
      <c r="P10" s="48">
        <v>262169.76</v>
      </c>
      <c r="Q10" s="48">
        <v>279437.07</v>
      </c>
      <c r="R10" s="48">
        <v>296704.38</v>
      </c>
      <c r="S10" s="48">
        <v>313971.69</v>
      </c>
      <c r="T10" s="48">
        <v>331239.0</v>
      </c>
      <c r="U10" s="48">
        <v>348506.31</v>
      </c>
      <c r="V10" s="48">
        <v>365773.62</v>
      </c>
      <c r="W10" s="48">
        <v>383040.93</v>
      </c>
      <c r="X10" s="48">
        <v>400308.24</v>
      </c>
      <c r="Y10" s="48">
        <v>440592.86</v>
      </c>
      <c r="Z10" s="48">
        <v>458948.91</v>
      </c>
      <c r="AA10" s="48">
        <v>477304.95999999996</v>
      </c>
      <c r="AB10" s="48">
        <v>495661.00999999995</v>
      </c>
      <c r="AC10" s="48">
        <v>514017.05999999994</v>
      </c>
      <c r="AD10" s="48">
        <v>532373.11</v>
      </c>
      <c r="AE10" s="48">
        <v>550729.16</v>
      </c>
      <c r="AF10" s="48">
        <v>569085.2100000001</v>
      </c>
      <c r="AG10" s="48">
        <v>587441.2600000001</v>
      </c>
      <c r="AH10" s="48">
        <v>605797.3100000002</v>
      </c>
      <c r="AI10" s="48">
        <v>624153.3600000002</v>
      </c>
      <c r="AJ10" s="48">
        <v>642509.4100000003</v>
      </c>
      <c r="AK10" s="48">
        <v>685334.0700000003</v>
      </c>
      <c r="AL10" s="48">
        <v>704793.2000000003</v>
      </c>
      <c r="AM10" s="48">
        <v>724252.3300000003</v>
      </c>
      <c r="AN10" s="48">
        <v>743711.4600000003</v>
      </c>
      <c r="AO10" s="48">
        <v>763170.5900000003</v>
      </c>
      <c r="AP10" s="48">
        <v>782629.7200000003</v>
      </c>
      <c r="AQ10" s="48">
        <v>802088.8500000003</v>
      </c>
      <c r="AR10" s="48">
        <v>821547.9800000003</v>
      </c>
      <c r="AS10" s="48">
        <v>841007.1100000003</v>
      </c>
      <c r="AT10" s="48">
        <v>860466.2400000003</v>
      </c>
      <c r="AU10" s="48">
        <v>879925.3700000003</v>
      </c>
      <c r="AV10" s="48">
        <v>899384.5000000003</v>
      </c>
      <c r="AW10" s="48">
        <v>944782.6500000004</v>
      </c>
      <c r="AX10" s="48">
        <v>964241.7800000004</v>
      </c>
      <c r="AY10" s="48">
        <v>983700.9100000004</v>
      </c>
      <c r="AZ10" s="48">
        <v>1002143.6800000004</v>
      </c>
      <c r="BA10" s="48">
        <v>1020586.4500000004</v>
      </c>
      <c r="BB10" s="48">
        <v>1039029.2200000004</v>
      </c>
      <c r="BC10" s="48">
        <v>1057471.9900000005</v>
      </c>
      <c r="BD10" s="48">
        <v>1075914.7600000005</v>
      </c>
      <c r="BE10" s="48">
        <v>1094357.5300000005</v>
      </c>
      <c r="BF10" s="48">
        <v>1112800.3000000005</v>
      </c>
      <c r="BG10" s="48">
        <v>1131243.0700000005</v>
      </c>
      <c r="BH10" s="48">
        <v>1149685.8400000005</v>
      </c>
      <c r="BI10" s="48">
        <v>1192712.8300000005</v>
      </c>
      <c r="BJ10" s="48">
        <v>1211191.2400000005</v>
      </c>
      <c r="BK10" s="48">
        <v>1229669.6500000004</v>
      </c>
      <c r="BL10" s="48">
        <v>1248148.0600000003</v>
      </c>
      <c r="BM10" s="48">
        <v>1266626.4700000002</v>
      </c>
      <c r="BN10" s="48">
        <v>1285104.8800000001</v>
      </c>
      <c r="BO10" s="48">
        <v>1303583.29</v>
      </c>
      <c r="BP10" s="48">
        <v>1322061.7</v>
      </c>
      <c r="BQ10" s="48">
        <v>1340540.1099999999</v>
      </c>
      <c r="BR10" s="48">
        <v>1359018.5199999998</v>
      </c>
      <c r="BS10" s="48">
        <v>1377496.9299999997</v>
      </c>
      <c r="BT10" s="48">
        <v>1395975.3399999996</v>
      </c>
      <c r="BU10" s="48">
        <v>1439085.4599999997</v>
      </c>
      <c r="BV10" s="48">
        <v>1457633.9899999998</v>
      </c>
      <c r="BW10" s="48">
        <v>1476182.5199999998</v>
      </c>
      <c r="BX10" s="48">
        <v>1494731.0499999998</v>
      </c>
      <c r="BY10" s="48">
        <v>1513279.5799999998</v>
      </c>
      <c r="BZ10" s="48">
        <v>1531828.1099999999</v>
      </c>
      <c r="CA10" s="48">
        <v>1550376.64</v>
      </c>
      <c r="CB10" s="48">
        <v>1568925.17</v>
      </c>
      <c r="CC10" s="48">
        <v>1587473.7</v>
      </c>
      <c r="CD10" s="69">
        <v>1606022.23</v>
      </c>
      <c r="CE10" s="69">
        <v>1624570.76</v>
      </c>
      <c r="CF10" s="69">
        <v>1643119.29</v>
      </c>
      <c r="CG10" s="69">
        <v>1686393.02</v>
      </c>
      <c r="CH10" s="69">
        <v>1704986.84</v>
      </c>
      <c r="CI10" s="69">
        <v>1723580.6600000001</v>
      </c>
      <c r="CJ10" s="69">
        <v>1742174.4800000002</v>
      </c>
      <c r="CK10" s="69">
        <v>1760768.3000000003</v>
      </c>
      <c r="CL10" s="69">
        <v>1780900.6100000003</v>
      </c>
      <c r="CM10" s="69">
        <v>1801032.9200000004</v>
      </c>
      <c r="CN10" s="69">
        <v>1821165.2300000004</v>
      </c>
      <c r="CO10" s="69">
        <v>1841297.5400000005</v>
      </c>
      <c r="CP10" s="69">
        <v>1861429.8500000006</v>
      </c>
      <c r="CQ10" s="69">
        <v>1881562.1600000006</v>
      </c>
      <c r="CR10" s="69">
        <v>1901694.4700000007</v>
      </c>
      <c r="CS10" s="69">
        <v>1948663.1400000006</v>
      </c>
      <c r="CT10" s="69">
        <v>1968825.8400000005</v>
      </c>
      <c r="CU10" s="69">
        <v>1988999.5800000005</v>
      </c>
      <c r="CV10" s="69">
        <v>2009173.3200000005</v>
      </c>
      <c r="CW10" s="69">
        <v>2029347.0600000005</v>
      </c>
      <c r="CX10" s="69">
        <v>2049520.8000000005</v>
      </c>
      <c r="CY10" s="69">
        <v>2069694.5400000005</v>
      </c>
      <c r="CZ10" s="69">
        <v>2089868.2800000005</v>
      </c>
      <c r="DA10" s="69">
        <v>2110042.0200000005</v>
      </c>
      <c r="DB10" s="69">
        <v>2130215.7600000007</v>
      </c>
      <c r="DC10" s="69">
        <v>2150389.500000001</v>
      </c>
      <c r="DD10" s="69">
        <v>2170563.240000001</v>
      </c>
      <c r="DE10" s="69">
        <v>2217628.570000001</v>
      </c>
      <c r="DF10" s="69">
        <v>2239813.280000001</v>
      </c>
      <c r="DG10" s="69">
        <v>2261997.990000001</v>
      </c>
      <c r="DH10" s="69">
        <v>2284182.700000001</v>
      </c>
      <c r="DI10" s="69">
        <v>2306367.410000001</v>
      </c>
      <c r="DJ10" s="69">
        <v>2328552.120000001</v>
      </c>
      <c r="DK10" s="69">
        <v>2350736.830000001</v>
      </c>
      <c r="DL10" s="69">
        <v>2372921.540000001</v>
      </c>
      <c r="DM10" s="69">
        <v>2395106.250000001</v>
      </c>
      <c r="DN10" s="69">
        <v>2417290.960000001</v>
      </c>
      <c r="DO10" s="69">
        <v>2439475.670000001</v>
      </c>
      <c r="DP10" s="69">
        <v>2461660.380000001</v>
      </c>
      <c r="DQ10" s="69">
        <v>2513417.3000000007</v>
      </c>
      <c r="DR10" s="69">
        <v>2535602.0100000007</v>
      </c>
      <c r="DS10" s="69">
        <v>2557786.7200000007</v>
      </c>
      <c r="DT10" s="69">
        <v>2579971.4300000006</v>
      </c>
      <c r="DU10" s="69">
        <v>2604386.3900000006</v>
      </c>
      <c r="DV10" s="69">
        <v>2628801.3500000006</v>
      </c>
      <c r="DW10" s="69">
        <v>2653216.3100000005</v>
      </c>
      <c r="DX10" s="69">
        <v>2677631.2700000005</v>
      </c>
      <c r="DY10" s="69">
        <v>2702046.2300000004</v>
      </c>
      <c r="DZ10" s="69">
        <v>2726461.1900000004</v>
      </c>
      <c r="EA10" s="69">
        <v>2750876.1500000004</v>
      </c>
      <c r="EB10" s="69">
        <v>2775291.1100000003</v>
      </c>
      <c r="EC10" s="69">
        <v>2832251.2100000004</v>
      </c>
      <c r="ED10" s="69">
        <v>2856666.1700000004</v>
      </c>
      <c r="EE10" s="69">
        <v>2881081.1300000004</v>
      </c>
      <c r="EF10" s="69">
        <v>2905496.0900000003</v>
      </c>
      <c r="EG10" s="69">
        <v>2929911.0500000003</v>
      </c>
      <c r="EH10" s="69">
        <v>2954326.0100000002</v>
      </c>
      <c r="EI10" s="69">
        <v>2978740.97</v>
      </c>
      <c r="EJ10" s="69">
        <v>3003155.93</v>
      </c>
      <c r="EK10" s="69">
        <v>3027570.89</v>
      </c>
      <c r="EL10" s="69">
        <v>3051985.85</v>
      </c>
      <c r="EM10" s="69">
        <v>3076400.81</v>
      </c>
      <c r="EN10" s="69">
        <v>3100815.77</v>
      </c>
      <c r="EO10" s="69">
        <v>3157775.87</v>
      </c>
    </row>
    <row r="11">
      <c r="A11" s="68" t="s">
        <v>84</v>
      </c>
      <c r="B11" s="48">
        <v>14671.97</v>
      </c>
      <c r="C11" s="48">
        <v>29343.94</v>
      </c>
      <c r="D11" s="48">
        <v>44015.909999999996</v>
      </c>
      <c r="E11" s="48">
        <v>58687.88</v>
      </c>
      <c r="F11" s="48">
        <v>73359.84999999999</v>
      </c>
      <c r="G11" s="48">
        <v>88031.81999999999</v>
      </c>
      <c r="H11" s="48">
        <v>102703.79</v>
      </c>
      <c r="I11" s="48">
        <v>118134.9</v>
      </c>
      <c r="J11" s="48">
        <v>133566.01</v>
      </c>
      <c r="K11" s="48">
        <v>148997.12</v>
      </c>
      <c r="L11" s="48">
        <v>164428.22999999998</v>
      </c>
      <c r="M11" s="48">
        <v>200429.00999999998</v>
      </c>
      <c r="N11" s="48">
        <v>216876.41999999998</v>
      </c>
      <c r="O11" s="48">
        <v>233323.83</v>
      </c>
      <c r="P11" s="48">
        <v>249771.24</v>
      </c>
      <c r="Q11" s="48">
        <v>266218.64999999997</v>
      </c>
      <c r="R11" s="48">
        <v>282666.05999999994</v>
      </c>
      <c r="S11" s="48">
        <v>299113.4699999999</v>
      </c>
      <c r="T11" s="48">
        <v>315560.8799999999</v>
      </c>
      <c r="U11" s="48">
        <v>332008.28999999986</v>
      </c>
      <c r="V11" s="48">
        <v>348455.69999999984</v>
      </c>
      <c r="W11" s="48">
        <v>364903.1099999998</v>
      </c>
      <c r="X11" s="48">
        <v>381350.5199999998</v>
      </c>
      <c r="Y11" s="48">
        <v>419722.3399999998</v>
      </c>
      <c r="Z11" s="48">
        <v>437204.0499999998</v>
      </c>
      <c r="AA11" s="48">
        <v>454685.75999999983</v>
      </c>
      <c r="AB11" s="48">
        <v>472167.46999999986</v>
      </c>
      <c r="AC11" s="48">
        <v>489649.1799999999</v>
      </c>
      <c r="AD11" s="48">
        <v>507130.8899999999</v>
      </c>
      <c r="AE11" s="48">
        <v>524612.5999999999</v>
      </c>
      <c r="AF11" s="48">
        <v>542094.3099999998</v>
      </c>
      <c r="AG11" s="48">
        <v>559576.0199999998</v>
      </c>
      <c r="AH11" s="48">
        <v>577057.7299999997</v>
      </c>
      <c r="AI11" s="48">
        <v>594539.4399999997</v>
      </c>
      <c r="AJ11" s="48">
        <v>612021.1499999997</v>
      </c>
      <c r="AK11" s="48">
        <v>652805.9899999996</v>
      </c>
      <c r="AL11" s="48">
        <v>671335.6299999997</v>
      </c>
      <c r="AM11" s="48">
        <v>689865.2699999997</v>
      </c>
      <c r="AN11" s="48">
        <v>708394.9099999997</v>
      </c>
      <c r="AO11" s="48">
        <v>726924.5499999997</v>
      </c>
      <c r="AP11" s="48">
        <v>745454.1899999997</v>
      </c>
      <c r="AQ11" s="48">
        <v>763983.8299999997</v>
      </c>
      <c r="AR11" s="48">
        <v>782513.4699999997</v>
      </c>
      <c r="AS11" s="48">
        <v>801043.1099999998</v>
      </c>
      <c r="AT11" s="48">
        <v>819572.7499999998</v>
      </c>
      <c r="AU11" s="48">
        <v>838102.3899999998</v>
      </c>
      <c r="AV11" s="48">
        <v>856632.0299999998</v>
      </c>
      <c r="AW11" s="48">
        <v>899861.6899999998</v>
      </c>
      <c r="AX11" s="48">
        <v>918391.3299999998</v>
      </c>
      <c r="AY11" s="48">
        <v>936920.9699999999</v>
      </c>
      <c r="AZ11" s="48">
        <v>954517.7999999998</v>
      </c>
      <c r="BA11" s="48">
        <v>972114.6299999998</v>
      </c>
      <c r="BB11" s="48">
        <v>989711.4599999997</v>
      </c>
      <c r="BC11" s="48">
        <v>1007308.2899999997</v>
      </c>
      <c r="BD11" s="48">
        <v>1024905.1199999996</v>
      </c>
      <c r="BE11" s="48">
        <v>1042501.9499999996</v>
      </c>
      <c r="BF11" s="48">
        <v>1060098.7799999996</v>
      </c>
      <c r="BG11" s="48">
        <v>1077695.6099999996</v>
      </c>
      <c r="BH11" s="48">
        <v>1095292.4399999997</v>
      </c>
      <c r="BI11" s="48">
        <v>1136345.8399999996</v>
      </c>
      <c r="BJ11" s="48">
        <v>1153978.3099999996</v>
      </c>
      <c r="BK11" s="48">
        <v>1171610.7799999996</v>
      </c>
      <c r="BL11" s="48">
        <v>1189243.2499999995</v>
      </c>
      <c r="BM11" s="48">
        <v>1206875.7199999995</v>
      </c>
      <c r="BN11" s="48">
        <v>1224508.1899999995</v>
      </c>
      <c r="BO11" s="48">
        <v>1242140.6599999995</v>
      </c>
      <c r="BP11" s="48">
        <v>1259773.1299999994</v>
      </c>
      <c r="BQ11" s="48">
        <v>1277405.5999999994</v>
      </c>
      <c r="BR11" s="48">
        <v>1295038.0699999994</v>
      </c>
      <c r="BS11" s="48">
        <v>1312670.5399999993</v>
      </c>
      <c r="BT11" s="48">
        <v>1330303.0099999993</v>
      </c>
      <c r="BU11" s="48">
        <v>1371439.5599999994</v>
      </c>
      <c r="BV11" s="48">
        <v>1389142.1599999995</v>
      </c>
      <c r="BW11" s="48">
        <v>1406844.7599999995</v>
      </c>
      <c r="BX11" s="48">
        <v>1424547.3599999996</v>
      </c>
      <c r="BY11" s="48">
        <v>1442249.9599999997</v>
      </c>
      <c r="BZ11" s="48">
        <v>1459952.5599999998</v>
      </c>
      <c r="CA11" s="48">
        <v>1477655.16</v>
      </c>
      <c r="CB11" s="48">
        <v>1495357.76</v>
      </c>
      <c r="CC11" s="48">
        <v>1513060.36</v>
      </c>
      <c r="CD11" s="69">
        <v>1530762.9600000002</v>
      </c>
      <c r="CE11" s="69">
        <v>1548465.5600000003</v>
      </c>
      <c r="CF11" s="69">
        <v>1566168.1600000004</v>
      </c>
      <c r="CG11" s="69">
        <v>1607468.3200000003</v>
      </c>
      <c r="CH11" s="69">
        <v>1625216.2000000002</v>
      </c>
      <c r="CI11" s="69">
        <v>1642964.08</v>
      </c>
      <c r="CJ11" s="69">
        <v>1660711.96</v>
      </c>
      <c r="CK11" s="69">
        <v>1678459.8399999999</v>
      </c>
      <c r="CL11" s="69">
        <v>1697670.0699999998</v>
      </c>
      <c r="CM11" s="69">
        <v>1716880.2999999998</v>
      </c>
      <c r="CN11" s="69">
        <v>1736090.5299999998</v>
      </c>
      <c r="CO11" s="69">
        <v>1755300.7599999998</v>
      </c>
      <c r="CP11" s="69">
        <v>1774510.9899999998</v>
      </c>
      <c r="CQ11" s="69">
        <v>1793721.2199999997</v>
      </c>
      <c r="CR11" s="69">
        <v>1812931.4499999997</v>
      </c>
      <c r="CS11" s="69">
        <v>1857748.9299999997</v>
      </c>
      <c r="CT11" s="69">
        <v>1876989.5599999996</v>
      </c>
      <c r="CU11" s="69">
        <v>1896241.2299999995</v>
      </c>
      <c r="CV11" s="69">
        <v>1915492.8999999994</v>
      </c>
      <c r="CW11" s="69">
        <v>1934744.5699999994</v>
      </c>
      <c r="CX11" s="69">
        <v>1953996.2399999993</v>
      </c>
      <c r="CY11" s="69">
        <v>1973247.9099999992</v>
      </c>
      <c r="CZ11" s="69">
        <v>1992499.5799999991</v>
      </c>
      <c r="DA11" s="69">
        <v>2011751.249999999</v>
      </c>
      <c r="DB11" s="69">
        <v>2031002.919999999</v>
      </c>
      <c r="DC11" s="69">
        <v>2050254.589999999</v>
      </c>
      <c r="DD11" s="69">
        <v>2069506.2599999988</v>
      </c>
      <c r="DE11" s="69">
        <v>2114420.399999999</v>
      </c>
      <c r="DF11" s="69">
        <v>2135582.479999999</v>
      </c>
      <c r="DG11" s="69">
        <v>2156744.559999999</v>
      </c>
      <c r="DH11" s="69">
        <v>2177906.639999999</v>
      </c>
      <c r="DI11" s="69">
        <v>2199068.7199999993</v>
      </c>
      <c r="DJ11" s="69">
        <v>2220230.7999999993</v>
      </c>
      <c r="DK11" s="69">
        <v>2241392.8799999994</v>
      </c>
      <c r="DL11" s="69">
        <v>2262554.9599999995</v>
      </c>
      <c r="DM11" s="69">
        <v>2283717.0399999996</v>
      </c>
      <c r="DN11" s="69">
        <v>2304879.1199999996</v>
      </c>
      <c r="DO11" s="69">
        <v>2326041.1999999997</v>
      </c>
      <c r="DP11" s="69">
        <v>2347203.28</v>
      </c>
      <c r="DQ11" s="69">
        <v>2396574.42</v>
      </c>
      <c r="DR11" s="69">
        <v>2417736.5</v>
      </c>
      <c r="DS11" s="69">
        <v>2438898.58</v>
      </c>
      <c r="DT11" s="69">
        <v>2460060.66</v>
      </c>
      <c r="DU11" s="69">
        <v>2483341.48</v>
      </c>
      <c r="DV11" s="69">
        <v>2506622.3</v>
      </c>
      <c r="DW11" s="69">
        <v>2529903.1199999996</v>
      </c>
      <c r="DX11" s="69">
        <v>2553183.9399999995</v>
      </c>
      <c r="DY11" s="69">
        <v>2576464.7599999993</v>
      </c>
      <c r="DZ11" s="69">
        <v>2599745.579999999</v>
      </c>
      <c r="EA11" s="69">
        <v>2623026.399999999</v>
      </c>
      <c r="EB11" s="69">
        <v>2646307.219999999</v>
      </c>
      <c r="EC11" s="69">
        <v>2700621.379999999</v>
      </c>
      <c r="ED11" s="69">
        <v>2723902.199999999</v>
      </c>
      <c r="EE11" s="69">
        <v>2747183.0199999986</v>
      </c>
      <c r="EF11" s="69">
        <v>2770463.8399999985</v>
      </c>
      <c r="EG11" s="69">
        <v>2793744.6599999983</v>
      </c>
      <c r="EH11" s="69">
        <v>2817025.479999998</v>
      </c>
      <c r="EI11" s="69">
        <v>2840306.299999998</v>
      </c>
      <c r="EJ11" s="69">
        <v>2863587.119999998</v>
      </c>
      <c r="EK11" s="69">
        <v>2886867.9399999976</v>
      </c>
      <c r="EL11" s="69">
        <v>2910148.7599999974</v>
      </c>
      <c r="EM11" s="69">
        <v>2933429.5799999973</v>
      </c>
      <c r="EN11" s="69">
        <v>2956710.399999997</v>
      </c>
      <c r="EO11" s="69">
        <v>3011024.5599999973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9.63"/>
    <col customWidth="1" min="3" max="3" width="10.0"/>
    <col customWidth="1" min="4" max="4" width="9.63"/>
    <col customWidth="1" min="5" max="7" width="11.5"/>
    <col customWidth="1" min="8" max="8" width="12.0"/>
    <col customWidth="1" min="9" max="9" width="9.63"/>
    <col customWidth="1" min="10" max="11" width="10.88"/>
    <col customWidth="1" min="12" max="12" width="12.0"/>
    <col customWidth="1" min="13" max="15" width="11.5"/>
  </cols>
  <sheetData>
    <row r="1">
      <c r="A1" s="32" t="s">
        <v>9</v>
      </c>
      <c r="B1" s="33" t="s">
        <v>93</v>
      </c>
      <c r="C1" s="33" t="s">
        <v>94</v>
      </c>
      <c r="D1" s="33" t="s">
        <v>79</v>
      </c>
      <c r="E1" s="33" t="s">
        <v>95</v>
      </c>
      <c r="F1" s="33" t="s">
        <v>96</v>
      </c>
      <c r="G1" s="33" t="s">
        <v>84</v>
      </c>
      <c r="H1" s="33" t="s">
        <v>85</v>
      </c>
      <c r="I1" s="33" t="s">
        <v>86</v>
      </c>
      <c r="J1" s="33" t="s">
        <v>87</v>
      </c>
      <c r="K1" s="33" t="s">
        <v>88</v>
      </c>
      <c r="L1" s="33" t="s">
        <v>89</v>
      </c>
      <c r="M1" s="33" t="s">
        <v>90</v>
      </c>
      <c r="N1" s="33" t="s">
        <v>91</v>
      </c>
      <c r="O1" s="33" t="s">
        <v>92</v>
      </c>
    </row>
    <row r="2">
      <c r="A2" s="34">
        <v>42370.0</v>
      </c>
      <c r="B2" s="48">
        <f t="shared" ref="B2:B27" si="1">H2+I2</f>
        <v>1.052631234</v>
      </c>
      <c r="C2" s="48">
        <f t="shared" ref="C2:C27" si="2">J2+K2</f>
        <v>1.05262843</v>
      </c>
      <c r="D2" s="48">
        <f>'Página11'!F2/'Página11'!$F2</f>
        <v>1</v>
      </c>
      <c r="E2" s="48">
        <f t="shared" ref="E2:E27" si="3">L2+ROUND((M2/13.33333)*13,2)</f>
        <v>1.049512785</v>
      </c>
      <c r="F2" s="48">
        <f t="shared" ref="F2:F27" si="4">N2+ROUND((O2/13.33333)*12,2)</f>
        <v>1.04950982</v>
      </c>
      <c r="G2" s="48">
        <f>'Página11'!K2/'Página11'!$K2</f>
        <v>1</v>
      </c>
      <c r="H2" s="48">
        <f>'Página11'!L2/'Página11'!$F2</f>
        <v>1.052631234</v>
      </c>
      <c r="I2" s="48">
        <f>'Página11'!M2/'Página11'!$F2</f>
        <v>0</v>
      </c>
      <c r="J2" s="48">
        <f>'Página11'!N2/'Página11'!$F2</f>
        <v>1.05262843</v>
      </c>
      <c r="K2" s="48">
        <f>'Página11'!O2/'Página11'!$F2</f>
        <v>0</v>
      </c>
      <c r="L2" s="48">
        <f>'Página11'!P2/'Página11'!$K2</f>
        <v>1.049512785</v>
      </c>
      <c r="M2" s="48">
        <f>'Página11'!Q2/'Página11'!$K2</f>
        <v>0</v>
      </c>
      <c r="N2" s="48">
        <f>'Página11'!R2/'Página11'!$K2</f>
        <v>1.04950982</v>
      </c>
      <c r="O2" s="48">
        <f>'Página11'!S2/'Página11'!$K2</f>
        <v>0</v>
      </c>
    </row>
    <row r="3">
      <c r="A3" s="34">
        <v>42583.0</v>
      </c>
      <c r="B3" s="48">
        <f t="shared" si="1"/>
        <v>1.185565064</v>
      </c>
      <c r="C3" s="48">
        <f t="shared" si="2"/>
        <v>0.9977520881</v>
      </c>
      <c r="D3" s="48">
        <f>'Página11'!F3/'Página11'!$F3</f>
        <v>1</v>
      </c>
      <c r="E3" s="48">
        <f t="shared" si="3"/>
        <v>1.189666216</v>
      </c>
      <c r="F3" s="48">
        <f t="shared" si="4"/>
        <v>0.9978787168</v>
      </c>
      <c r="G3" s="48">
        <f>'Página11'!K3/'Página11'!$K3</f>
        <v>1</v>
      </c>
      <c r="H3" s="48">
        <f>'Página11'!L3/'Página11'!$F3</f>
        <v>1.052631182</v>
      </c>
      <c r="I3" s="48">
        <f>'Página11'!M3/'Página11'!$F3</f>
        <v>0.1329338818</v>
      </c>
      <c r="J3" s="48">
        <f>'Página11'!N3/'Página11'!$F3</f>
        <v>0.9977520881</v>
      </c>
      <c r="K3" s="48">
        <f>'Página11'!O3/'Página11'!$F3</f>
        <v>0</v>
      </c>
      <c r="L3" s="48">
        <f>'Página11'!P3/'Página11'!$K3</f>
        <v>1.049666216</v>
      </c>
      <c r="M3" s="48">
        <f>'Página11'!Q3/'Página11'!$K3</f>
        <v>0.1409490469</v>
      </c>
      <c r="N3" s="48">
        <f>'Página11'!R3/'Página11'!$K3</f>
        <v>0.9978787168</v>
      </c>
      <c r="O3" s="48">
        <f>'Página11'!S3/'Página11'!$K3</f>
        <v>0</v>
      </c>
    </row>
    <row r="4">
      <c r="A4" s="34">
        <v>42614.0</v>
      </c>
      <c r="B4" s="48">
        <f t="shared" si="1"/>
        <v>1.185565064</v>
      </c>
      <c r="C4" s="48">
        <f t="shared" si="2"/>
        <v>1.13068597</v>
      </c>
      <c r="D4" s="48">
        <f>'Página11'!F4/'Página11'!$F4</f>
        <v>1</v>
      </c>
      <c r="E4" s="48">
        <f t="shared" si="3"/>
        <v>1.189666216</v>
      </c>
      <c r="F4" s="48">
        <f t="shared" si="4"/>
        <v>1.127878717</v>
      </c>
      <c r="G4" s="48">
        <f>'Página11'!K4/'Página11'!$K4</f>
        <v>1</v>
      </c>
      <c r="H4" s="48">
        <f>'Página11'!L4/'Página11'!$F4</f>
        <v>1.052631182</v>
      </c>
      <c r="I4" s="48">
        <f>'Página11'!M4/'Página11'!$F4</f>
        <v>0.1329338818</v>
      </c>
      <c r="J4" s="48">
        <f>'Página11'!N4/'Página11'!$F4</f>
        <v>0.9977520881</v>
      </c>
      <c r="K4" s="48">
        <f>'Página11'!O4/'Página11'!$F4</f>
        <v>0.1329338818</v>
      </c>
      <c r="L4" s="48">
        <f>'Página11'!P4/'Página11'!$K4</f>
        <v>1.049666216</v>
      </c>
      <c r="M4" s="48">
        <f>'Página11'!Q4/'Página11'!$K4</f>
        <v>0.1409490469</v>
      </c>
      <c r="N4" s="48">
        <f>'Página11'!R4/'Página11'!$K4</f>
        <v>0.9978787168</v>
      </c>
      <c r="O4" s="48">
        <f>'Página11'!S4/'Página11'!$K4</f>
        <v>0.1409490469</v>
      </c>
    </row>
    <row r="5">
      <c r="A5" s="34">
        <v>42734.0</v>
      </c>
      <c r="B5" s="48">
        <f t="shared" si="1"/>
        <v>1.185565064</v>
      </c>
      <c r="C5" s="48">
        <f t="shared" si="2"/>
        <v>1.185562406</v>
      </c>
      <c r="D5" s="48">
        <f>'Página11'!F5/'Página11'!$F5</f>
        <v>1</v>
      </c>
      <c r="E5" s="48">
        <f t="shared" si="3"/>
        <v>1.189666216</v>
      </c>
      <c r="F5" s="48">
        <f t="shared" si="4"/>
        <v>1.179663866</v>
      </c>
      <c r="G5" s="48">
        <f>'Página11'!K5/'Página11'!$K5</f>
        <v>1</v>
      </c>
      <c r="H5" s="48">
        <f>'Página11'!L5/'Página11'!$F5</f>
        <v>1.052631182</v>
      </c>
      <c r="I5" s="48">
        <f>'Página11'!M5/'Página11'!$F5</f>
        <v>0.1329338818</v>
      </c>
      <c r="J5" s="48">
        <f>'Página11'!N5/'Página11'!$F5</f>
        <v>1.052628524</v>
      </c>
      <c r="K5" s="48">
        <f>'Página11'!O5/'Página11'!$F5</f>
        <v>0.1329338818</v>
      </c>
      <c r="L5" s="48">
        <f>'Página11'!P5/'Página11'!$K5</f>
        <v>1.049666216</v>
      </c>
      <c r="M5" s="48">
        <f>'Página11'!Q5/'Página11'!$K5</f>
        <v>0.1409490469</v>
      </c>
      <c r="N5" s="48">
        <f>'Página11'!R5/'Página11'!$K5</f>
        <v>1.049663866</v>
      </c>
      <c r="O5" s="48">
        <f>'Página11'!S5/'Página11'!$K5</f>
        <v>0.1409490469</v>
      </c>
    </row>
    <row r="6">
      <c r="A6" s="34">
        <v>42736.0</v>
      </c>
      <c r="B6" s="48">
        <f t="shared" si="1"/>
        <v>1.184858669</v>
      </c>
      <c r="C6" s="48">
        <f t="shared" si="2"/>
        <v>1.157414717</v>
      </c>
      <c r="D6" s="48">
        <f>'Página11'!F6/'Página11'!$F6</f>
        <v>1</v>
      </c>
      <c r="E6" s="48">
        <f t="shared" si="3"/>
        <v>1.191403388</v>
      </c>
      <c r="F6" s="48">
        <f t="shared" si="4"/>
        <v>1.151400743</v>
      </c>
      <c r="G6" s="48">
        <f>'Página11'!K6/'Página11'!$K6</f>
        <v>1</v>
      </c>
      <c r="H6" s="48">
        <f>'Página11'!L6/'Página11'!$F6</f>
        <v>1.033156247</v>
      </c>
      <c r="I6" s="48">
        <f>'Página11'!M6/'Página11'!$F6</f>
        <v>0.1517024222</v>
      </c>
      <c r="J6" s="48">
        <f>'Página11'!N6/'Página11'!$F6</f>
        <v>1.033153348</v>
      </c>
      <c r="K6" s="48">
        <f>'Página11'!O6/'Página11'!$F6</f>
        <v>0.1242613697</v>
      </c>
      <c r="L6" s="48">
        <f>'Página11'!P6/'Página11'!$K6</f>
        <v>1.031403388</v>
      </c>
      <c r="M6" s="48">
        <f>'Página11'!Q6/'Página11'!$K6</f>
        <v>0.16144256</v>
      </c>
      <c r="N6" s="48">
        <f>'Página11'!R6/'Página11'!$K6</f>
        <v>1.031400743</v>
      </c>
      <c r="O6" s="48">
        <f>'Página11'!S6/'Página11'!$K6</f>
        <v>0.1322396396</v>
      </c>
    </row>
    <row r="7">
      <c r="A7" s="34">
        <v>43101.0</v>
      </c>
      <c r="B7" s="48">
        <f t="shared" si="1"/>
        <v>1.265455742</v>
      </c>
      <c r="C7" s="48">
        <f t="shared" si="2"/>
        <v>1.1313723</v>
      </c>
      <c r="D7" s="48">
        <f>'Página11'!F7/'Página11'!$F7</f>
        <v>1</v>
      </c>
      <c r="E7" s="48">
        <f t="shared" si="3"/>
        <v>1.274112061</v>
      </c>
      <c r="F7" s="48">
        <f t="shared" si="4"/>
        <v>1.124109158</v>
      </c>
      <c r="G7" s="48">
        <f>'Página11'!K7/'Página11'!$K7</f>
        <v>1</v>
      </c>
      <c r="H7" s="48">
        <f>'Página11'!L7/'Página11'!$F7</f>
        <v>1.014850299</v>
      </c>
      <c r="I7" s="48">
        <f>'Página11'!M7/'Página11'!$F7</f>
        <v>0.250605443</v>
      </c>
      <c r="J7" s="48">
        <f>'Página11'!N7/'Página11'!$F7</f>
        <v>1.01484758</v>
      </c>
      <c r="K7" s="48">
        <f>'Página11'!O7/'Página11'!$F7</f>
        <v>0.1165247201</v>
      </c>
      <c r="L7" s="48">
        <f>'Página11'!P7/'Página11'!$K7</f>
        <v>1.014112061</v>
      </c>
      <c r="M7" s="48">
        <f>'Página11'!Q7/'Página11'!$K7</f>
        <v>0.267576342</v>
      </c>
      <c r="N7" s="48">
        <f>'Página11'!R7/'Página11'!$K7</f>
        <v>1.014109158</v>
      </c>
      <c r="O7" s="48">
        <f>'Página11'!S7/'Página11'!$K7</f>
        <v>0.1244157269</v>
      </c>
    </row>
    <row r="8">
      <c r="A8" s="34">
        <v>43431.0</v>
      </c>
      <c r="B8" s="48">
        <f t="shared" si="1"/>
        <v>1.288034348</v>
      </c>
      <c r="C8" s="48">
        <f t="shared" si="2"/>
        <v>1.1313723</v>
      </c>
      <c r="D8" s="48">
        <f>'Página11'!F8/'Página11'!$F8</f>
        <v>1</v>
      </c>
      <c r="E8" s="48">
        <f t="shared" si="3"/>
        <v>1.294112061</v>
      </c>
      <c r="F8" s="48">
        <f t="shared" si="4"/>
        <v>1.124109158</v>
      </c>
      <c r="G8" s="48">
        <f>'Página11'!K8/'Página11'!$K8</f>
        <v>1</v>
      </c>
      <c r="H8" s="48">
        <f>'Página11'!L8/'Página11'!$F8</f>
        <v>1.014850299</v>
      </c>
      <c r="I8" s="48">
        <f>'Página11'!M8/'Página11'!$F8</f>
        <v>0.2731840496</v>
      </c>
      <c r="J8" s="48">
        <f>'Página11'!N8/'Página11'!$F8</f>
        <v>1.01484758</v>
      </c>
      <c r="K8" s="48">
        <f>'Página11'!O8/'Página11'!$F8</f>
        <v>0.1165247201</v>
      </c>
      <c r="L8" s="48">
        <f>'Página11'!P8/'Página11'!$K8</f>
        <v>1.014112061</v>
      </c>
      <c r="M8" s="48">
        <f>'Página11'!Q8/'Página11'!$K8</f>
        <v>0.2916839627</v>
      </c>
      <c r="N8" s="48">
        <f>'Página11'!R8/'Página11'!$K8</f>
        <v>1.014109158</v>
      </c>
      <c r="O8" s="48">
        <f>'Página11'!S8/'Página11'!$K8</f>
        <v>0.1244157269</v>
      </c>
    </row>
    <row r="9">
      <c r="A9" s="34">
        <v>43466.0</v>
      </c>
      <c r="B9" s="48">
        <f t="shared" si="1"/>
        <v>1.261251962</v>
      </c>
      <c r="C9" s="48">
        <f t="shared" si="2"/>
        <v>1.107197127</v>
      </c>
      <c r="D9" s="48">
        <f>'Página11'!F9/'Página11'!$F9</f>
        <v>1</v>
      </c>
      <c r="E9" s="48">
        <f t="shared" si="3"/>
        <v>1.277702492</v>
      </c>
      <c r="F9" s="48">
        <f t="shared" si="4"/>
        <v>1.107699753</v>
      </c>
      <c r="G9" s="48">
        <f>'Página11'!K9/'Página11'!$K9</f>
        <v>1</v>
      </c>
      <c r="H9" s="48">
        <f>'Página11'!L9/'Página11'!$F9</f>
        <v>0.9975896677</v>
      </c>
      <c r="I9" s="48">
        <f>'Página11'!M9/'Página11'!$F9</f>
        <v>0.2636622948</v>
      </c>
      <c r="J9" s="48">
        <f>'Página11'!N9/'Página11'!$F9</f>
        <v>0.9975867447</v>
      </c>
      <c r="K9" s="48">
        <f>'Página11'!O9/'Página11'!$F9</f>
        <v>0.1096103826</v>
      </c>
      <c r="L9" s="48">
        <f>'Página11'!P9/'Página11'!$K9</f>
        <v>0.9977024921</v>
      </c>
      <c r="M9" s="48">
        <f>'Página11'!Q9/'Página11'!$K9</f>
        <v>0.2823504998</v>
      </c>
      <c r="N9" s="48">
        <f>'Página11'!R9/'Página11'!$K9</f>
        <v>0.9976997532</v>
      </c>
      <c r="O9" s="48">
        <f>'Página11'!S9/'Página11'!$K9</f>
        <v>0.1173794923</v>
      </c>
    </row>
    <row r="10">
      <c r="A10" s="34">
        <v>43831.0</v>
      </c>
      <c r="B10" s="48">
        <f t="shared" si="1"/>
        <v>1.284403502</v>
      </c>
      <c r="C10" s="48">
        <f t="shared" si="2"/>
        <v>1.107197127</v>
      </c>
      <c r="D10" s="48">
        <f>'Página11'!F10/'Página11'!$F10</f>
        <v>1</v>
      </c>
      <c r="E10" s="48">
        <f t="shared" si="3"/>
        <v>1.297702492</v>
      </c>
      <c r="F10" s="48">
        <f t="shared" si="4"/>
        <v>1.107699753</v>
      </c>
      <c r="G10" s="48">
        <f>'Página11'!K10/'Página11'!$K10</f>
        <v>1</v>
      </c>
      <c r="H10" s="48">
        <f>'Página11'!L10/'Página11'!$F10</f>
        <v>0.9975896677</v>
      </c>
      <c r="I10" s="48">
        <f>'Página11'!M10/'Página11'!$F10</f>
        <v>0.2868138344</v>
      </c>
      <c r="J10" s="48">
        <f>'Página11'!N10/'Página11'!$F10</f>
        <v>0.9975867447</v>
      </c>
      <c r="K10" s="48">
        <f>'Página11'!O10/'Página11'!$F10</f>
        <v>0.1096103826</v>
      </c>
      <c r="L10" s="48">
        <f>'Página11'!P10/'Página11'!$K10</f>
        <v>0.9977024921</v>
      </c>
      <c r="M10" s="48">
        <f>'Página11'!Q10/'Página11'!$K10</f>
        <v>0.3071430049</v>
      </c>
      <c r="N10" s="48">
        <f>'Página11'!R10/'Página11'!$K10</f>
        <v>0.9976997532</v>
      </c>
      <c r="O10" s="48">
        <f>'Página11'!S10/'Página11'!$K10</f>
        <v>0.1173794923</v>
      </c>
    </row>
    <row r="11">
      <c r="A11" s="34">
        <v>43891.0</v>
      </c>
      <c r="B11" s="48">
        <f t="shared" si="1"/>
        <v>1.295024748</v>
      </c>
      <c r="C11" s="48">
        <f t="shared" si="2"/>
        <v>1.107197127</v>
      </c>
      <c r="D11" s="48">
        <f>'Página11'!F11/'Página11'!$F11</f>
        <v>1</v>
      </c>
      <c r="E11" s="48">
        <f t="shared" si="3"/>
        <v>1.327798652</v>
      </c>
      <c r="F11" s="48">
        <f t="shared" si="4"/>
        <v>1.107795768</v>
      </c>
      <c r="G11" s="48">
        <f>'Página11'!K11/'Página11'!$K11</f>
        <v>1</v>
      </c>
      <c r="H11" s="48">
        <f>'Página11'!L11/'Página11'!$F11</f>
        <v>0.9975896677</v>
      </c>
      <c r="I11" s="48">
        <f>'Página11'!M11/'Página11'!$F11</f>
        <v>0.2974350805</v>
      </c>
      <c r="J11" s="48">
        <f>'Página11'!N11/'Página11'!$F11</f>
        <v>0.9975867447</v>
      </c>
      <c r="K11" s="48">
        <f>'Página11'!O11/'Página11'!$F11</f>
        <v>0.1096103826</v>
      </c>
      <c r="L11" s="48">
        <f>'Página11'!P11/'Página11'!$K11</f>
        <v>0.9977986516</v>
      </c>
      <c r="M11" s="48">
        <f>'Página11'!Q11/'Página11'!$K11</f>
        <v>0.335401779</v>
      </c>
      <c r="N11" s="48">
        <f>'Página11'!R11/'Página11'!$K11</f>
        <v>0.9977957675</v>
      </c>
      <c r="O11" s="48">
        <f>'Página11'!S11/'Página11'!$K11</f>
        <v>0.1236018201</v>
      </c>
    </row>
    <row r="12">
      <c r="A12" s="34">
        <v>44197.0</v>
      </c>
      <c r="B12" s="48">
        <f t="shared" si="1"/>
        <v>1.348130979</v>
      </c>
      <c r="C12" s="48">
        <f t="shared" si="2"/>
        <v>1.107197127</v>
      </c>
      <c r="D12" s="48">
        <f>'Página11'!F12/'Página11'!$F12</f>
        <v>1</v>
      </c>
      <c r="E12" s="48">
        <f t="shared" si="3"/>
        <v>1.37780269</v>
      </c>
      <c r="F12" s="48">
        <f t="shared" si="4"/>
        <v>1.107800223</v>
      </c>
      <c r="G12" s="48">
        <f>'Página11'!K12/'Página11'!$K12</f>
        <v>1</v>
      </c>
      <c r="H12" s="48">
        <f>'Página11'!L12/'Página11'!$F12</f>
        <v>0.9975896677</v>
      </c>
      <c r="I12" s="48">
        <f>'Página11'!M12/'Página11'!$F12</f>
        <v>0.3505413109</v>
      </c>
      <c r="J12" s="48">
        <f>'Página11'!N12/'Página11'!$F12</f>
        <v>0.9975867447</v>
      </c>
      <c r="K12" s="48">
        <f>'Página11'!O12/'Página11'!$F12</f>
        <v>0.1096103826</v>
      </c>
      <c r="L12" s="48">
        <f>'Página11'!P12/'Página11'!$K12</f>
        <v>0.9978026901</v>
      </c>
      <c r="M12" s="48">
        <f>'Página11'!Q12/'Página11'!$K12</f>
        <v>0.3944878565</v>
      </c>
      <c r="N12" s="48">
        <f>'Página11'!R12/'Página11'!$K12</f>
        <v>0.997800223</v>
      </c>
      <c r="O12" s="48">
        <f>'Página11'!S12/'Página11'!$K12</f>
        <v>0.1233519803</v>
      </c>
    </row>
    <row r="13">
      <c r="A13" s="34">
        <v>44562.0</v>
      </c>
      <c r="B13" s="48">
        <f t="shared" si="1"/>
        <v>1.429696083</v>
      </c>
      <c r="C13" s="48">
        <f t="shared" si="2"/>
        <v>1.107197127</v>
      </c>
      <c r="D13" s="48">
        <f>'Página11'!F13/'Página11'!$F13</f>
        <v>1</v>
      </c>
      <c r="E13" s="48">
        <f t="shared" si="3"/>
        <v>1.467811804</v>
      </c>
      <c r="F13" s="48">
        <f t="shared" si="4"/>
        <v>1.107808937</v>
      </c>
      <c r="G13" s="48">
        <f>'Página11'!K13/'Página11'!$K13</f>
        <v>1</v>
      </c>
      <c r="H13" s="48">
        <f>'Página11'!L13/'Página11'!$F13</f>
        <v>0.9975896677</v>
      </c>
      <c r="I13" s="48">
        <f>'Página11'!M13/'Página11'!$F13</f>
        <v>0.4321064156</v>
      </c>
      <c r="J13" s="48">
        <f>'Página11'!N13/'Página11'!$F13</f>
        <v>0.9975867447</v>
      </c>
      <c r="K13" s="48">
        <f>'Página11'!O13/'Página11'!$F13</f>
        <v>0.1096103826</v>
      </c>
      <c r="L13" s="48">
        <f>'Página11'!P13/'Página11'!$K13</f>
        <v>0.9978118043</v>
      </c>
      <c r="M13" s="48">
        <f>'Página11'!Q13/'Página11'!$K13</f>
        <v>0.4843521842</v>
      </c>
      <c r="N13" s="48">
        <f>'Página11'!R13/'Página11'!$K13</f>
        <v>0.9978089375</v>
      </c>
      <c r="O13" s="48">
        <f>'Página11'!S13/'Página11'!$K13</f>
        <v>0.1228633186</v>
      </c>
    </row>
    <row r="14">
      <c r="A14" s="34">
        <v>44927.0</v>
      </c>
      <c r="B14" s="48">
        <f t="shared" si="1"/>
        <v>1.435565354</v>
      </c>
      <c r="C14" s="48">
        <f t="shared" si="2"/>
        <v>1.107197127</v>
      </c>
      <c r="D14" s="48">
        <f>'Página11'!F14/'Página11'!$F14</f>
        <v>1</v>
      </c>
      <c r="E14" s="48">
        <f t="shared" si="3"/>
        <v>1.477817387</v>
      </c>
      <c r="F14" s="48">
        <f t="shared" si="4"/>
        <v>1.107814528</v>
      </c>
      <c r="G14" s="48">
        <f>'Página11'!K14/'Página11'!$K14</f>
        <v>1</v>
      </c>
      <c r="H14" s="48">
        <f>'Página11'!L14/'Página11'!$F14</f>
        <v>0.9975896677</v>
      </c>
      <c r="I14" s="48">
        <f>'Página11'!M14/'Página11'!$F14</f>
        <v>0.4379756862</v>
      </c>
      <c r="J14" s="48">
        <f>'Página11'!N14/'Página11'!$F14</f>
        <v>0.9975867447</v>
      </c>
      <c r="K14" s="48">
        <f>'Página11'!O14/'Página11'!$F14</f>
        <v>0.1096103826</v>
      </c>
      <c r="L14" s="48">
        <f>'Página11'!P14/'Página11'!$K14</f>
        <v>0.9978173874</v>
      </c>
      <c r="M14" s="48">
        <f>'Página11'!Q14/'Página11'!$K14</f>
        <v>0.4896785008</v>
      </c>
      <c r="N14" s="48">
        <f>'Página11'!R14/'Página11'!$K14</f>
        <v>0.997814528</v>
      </c>
      <c r="O14" s="48">
        <f>'Página11'!S14/'Página11'!$K14</f>
        <v>0.1225498344</v>
      </c>
    </row>
    <row r="15">
      <c r="A15" s="34">
        <v>44958.0</v>
      </c>
      <c r="B15" s="48">
        <f t="shared" si="1"/>
        <v>1.435651946</v>
      </c>
      <c r="C15" s="48">
        <f t="shared" si="2"/>
        <v>1.107197127</v>
      </c>
      <c r="D15" s="48">
        <f>'Página11'!F15/'Página11'!$F15</f>
        <v>1</v>
      </c>
      <c r="E15" s="48">
        <f t="shared" si="3"/>
        <v>1.477817387</v>
      </c>
      <c r="F15" s="48">
        <f t="shared" si="4"/>
        <v>1.107814528</v>
      </c>
      <c r="G15" s="48">
        <f>'Página11'!K15/'Página11'!$K15</f>
        <v>1</v>
      </c>
      <c r="H15" s="48">
        <f>'Página11'!L15/'Página11'!$F15</f>
        <v>0.9975896677</v>
      </c>
      <c r="I15" s="48">
        <f>'Página11'!M15/'Página11'!$F15</f>
        <v>0.4380622784</v>
      </c>
      <c r="J15" s="48">
        <f>'Página11'!N15/'Página11'!$F15</f>
        <v>0.9975867447</v>
      </c>
      <c r="K15" s="48">
        <f>'Página11'!O15/'Página11'!$F15</f>
        <v>0.1096103826</v>
      </c>
      <c r="L15" s="48">
        <f>'Página11'!P15/'Página11'!$K15</f>
        <v>0.9978173874</v>
      </c>
      <c r="M15" s="48">
        <f>'Página11'!Q15/'Página11'!$K15</f>
        <v>0.4897753152</v>
      </c>
      <c r="N15" s="48">
        <f>'Página11'!R15/'Página11'!$K15</f>
        <v>0.997814528</v>
      </c>
      <c r="O15" s="48">
        <f>'Página11'!S15/'Página11'!$K15</f>
        <v>0.1225498344</v>
      </c>
    </row>
    <row r="16">
      <c r="A16" s="34">
        <v>45017.0</v>
      </c>
      <c r="B16" s="48">
        <f t="shared" si="1"/>
        <v>1.512715718</v>
      </c>
      <c r="C16" s="48">
        <f t="shared" si="2"/>
        <v>1.107197127</v>
      </c>
      <c r="D16" s="48">
        <f>'Página11'!F16/'Página11'!$F16</f>
        <v>1</v>
      </c>
      <c r="E16" s="48">
        <f t="shared" si="3"/>
        <v>1.557817387</v>
      </c>
      <c r="F16" s="48">
        <f t="shared" si="4"/>
        <v>1.107814528</v>
      </c>
      <c r="G16" s="48">
        <f>'Página11'!K16/'Página11'!$K16</f>
        <v>1</v>
      </c>
      <c r="H16" s="48">
        <f>'Página11'!L16/'Página11'!$F16</f>
        <v>0.9975896677</v>
      </c>
      <c r="I16" s="48">
        <f>'Página11'!M16/'Página11'!$F16</f>
        <v>0.5151260501</v>
      </c>
      <c r="J16" s="48">
        <f>'Página11'!N16/'Página11'!$F16</f>
        <v>0.9975867447</v>
      </c>
      <c r="K16" s="48">
        <f>'Página11'!O16/'Página11'!$F16</f>
        <v>0.1096103826</v>
      </c>
      <c r="L16" s="48">
        <f>'Página11'!P16/'Página11'!$K16</f>
        <v>0.9978173874</v>
      </c>
      <c r="M16" s="48">
        <f>'Página11'!Q16/'Página11'!$K16</f>
        <v>0.5759364272</v>
      </c>
      <c r="N16" s="48">
        <f>'Página11'!R16/'Página11'!$K16</f>
        <v>0.997814528</v>
      </c>
      <c r="O16" s="48">
        <f>'Página11'!S16/'Página11'!$K16</f>
        <v>0.1225498344</v>
      </c>
    </row>
    <row r="17">
      <c r="A17" s="34">
        <v>45047.0</v>
      </c>
      <c r="B17" s="48">
        <f t="shared" si="1"/>
        <v>1.396138631</v>
      </c>
      <c r="C17" s="48">
        <f t="shared" si="2"/>
        <v>1.098146881</v>
      </c>
      <c r="D17" s="48">
        <f>'Página11'!F17/'Página11'!$F17</f>
        <v>1</v>
      </c>
      <c r="E17" s="48">
        <f t="shared" si="3"/>
        <v>1.437801628</v>
      </c>
      <c r="F17" s="48">
        <f t="shared" si="4"/>
        <v>1.097799363</v>
      </c>
      <c r="G17" s="48">
        <f>'Página11'!K17/'Página11'!$K17</f>
        <v>1</v>
      </c>
      <c r="H17" s="48">
        <f>'Página11'!L17/'Página11'!$F17</f>
        <v>0.9975895772</v>
      </c>
      <c r="I17" s="48">
        <f>'Página11'!M17/'Página11'!$F17</f>
        <v>0.3985490535</v>
      </c>
      <c r="J17" s="48">
        <f>'Página11'!N17/'Página11'!$F17</f>
        <v>0.9975868956</v>
      </c>
      <c r="K17" s="48">
        <f>'Página11'!O17/'Página11'!$F17</f>
        <v>0.100559985</v>
      </c>
      <c r="L17" s="48">
        <f>'Página11'!P17/'Página11'!$K17</f>
        <v>0.9978016275</v>
      </c>
      <c r="M17" s="48">
        <f>'Página11'!Q17/'Página11'!$K17</f>
        <v>0.4487280191</v>
      </c>
      <c r="N17" s="48">
        <f>'Página11'!R17/'Página11'!$K17</f>
        <v>0.9977993631</v>
      </c>
      <c r="O17" s="48">
        <f>'Página11'!S17/'Página11'!$K17</f>
        <v>0.1132209009</v>
      </c>
    </row>
    <row r="18">
      <c r="A18" s="34">
        <v>45292.0</v>
      </c>
      <c r="B18" s="48">
        <f t="shared" si="1"/>
        <v>1.396138631</v>
      </c>
      <c r="C18" s="48">
        <f t="shared" si="2"/>
        <v>1.098146881</v>
      </c>
      <c r="D18" s="48">
        <f>'Página11'!F18/'Página11'!$F18</f>
        <v>1</v>
      </c>
      <c r="E18" s="48">
        <f t="shared" si="3"/>
        <v>1.4378051</v>
      </c>
      <c r="F18" s="48">
        <f t="shared" si="4"/>
        <v>1.097802839</v>
      </c>
      <c r="G18" s="48">
        <f>'Página11'!K18/'Página11'!$K18</f>
        <v>1</v>
      </c>
      <c r="H18" s="48">
        <f>'Página11'!L18/'Página11'!$F18</f>
        <v>0.9975895772</v>
      </c>
      <c r="I18" s="48">
        <f>'Página11'!M18/'Página11'!$F18</f>
        <v>0.3985490535</v>
      </c>
      <c r="J18" s="48">
        <f>'Página11'!N18/'Página11'!$F18</f>
        <v>0.9975868956</v>
      </c>
      <c r="K18" s="48">
        <f>'Página11'!O18/'Página11'!$F18</f>
        <v>0.100559985</v>
      </c>
      <c r="L18" s="48">
        <f>'Página11'!P18/'Página11'!$K18</f>
        <v>0.9978051</v>
      </c>
      <c r="M18" s="48">
        <f>'Página11'!Q18/'Página11'!$K18</f>
        <v>0.4480192199</v>
      </c>
      <c r="N18" s="48">
        <f>'Página11'!R18/'Página11'!$K18</f>
        <v>0.9978028392</v>
      </c>
      <c r="O18" s="48">
        <f>'Página11'!S18/'Página11'!$K18</f>
        <v>0.1130420601</v>
      </c>
    </row>
    <row r="19">
      <c r="A19" s="34">
        <v>45323.0</v>
      </c>
      <c r="B19" s="48">
        <f t="shared" si="1"/>
        <v>1.475165371</v>
      </c>
      <c r="C19" s="48">
        <f t="shared" si="2"/>
        <v>1.148426873</v>
      </c>
      <c r="D19" s="48">
        <f>'Página11'!F19/'Página11'!$F19</f>
        <v>1</v>
      </c>
      <c r="E19" s="48">
        <f t="shared" si="3"/>
        <v>1.517806359</v>
      </c>
      <c r="F19" s="48">
        <f t="shared" si="4"/>
        <v>1.147804099</v>
      </c>
      <c r="G19" s="48">
        <f>'Página11'!K19/'Página11'!$K19</f>
        <v>1</v>
      </c>
      <c r="H19" s="48">
        <f>'Página11'!L19/'Página11'!$F19</f>
        <v>0.9975895772</v>
      </c>
      <c r="I19" s="48">
        <f>'Página11'!M19/'Página11'!$F19</f>
        <v>0.4775757937</v>
      </c>
      <c r="J19" s="48">
        <f>'Página11'!N19/'Página11'!$F19</f>
        <v>0.9975868956</v>
      </c>
      <c r="K19" s="48">
        <f>'Página11'!O19/'Página11'!$F19</f>
        <v>0.1508399776</v>
      </c>
      <c r="L19" s="48">
        <f>'Página11'!P19/'Página11'!$K19</f>
        <v>0.9978063587</v>
      </c>
      <c r="M19" s="48">
        <f>'Página11'!Q19/'Página11'!$K19</f>
        <v>0.5365473435</v>
      </c>
      <c r="N19" s="48">
        <f>'Página11'!R19/'Página11'!$K19</f>
        <v>0.9978040991</v>
      </c>
      <c r="O19" s="48">
        <f>'Página11'!S19/'Página11'!$K19</f>
        <v>0.169465853</v>
      </c>
    </row>
    <row r="20">
      <c r="A20" s="34">
        <v>45505.0</v>
      </c>
      <c r="B20" s="48">
        <f t="shared" si="1"/>
        <v>1.475165371</v>
      </c>
      <c r="C20" s="48">
        <f t="shared" si="2"/>
        <v>1.165186871</v>
      </c>
      <c r="D20" s="48">
        <f>'Página11'!F20/'Página11'!$F20</f>
        <v>1</v>
      </c>
      <c r="E20" s="48">
        <f t="shared" si="3"/>
        <v>1.517806359</v>
      </c>
      <c r="F20" s="48">
        <f t="shared" si="4"/>
        <v>1.167804099</v>
      </c>
      <c r="G20" s="48">
        <f>'Página11'!K20/'Página11'!$K20</f>
        <v>1</v>
      </c>
      <c r="H20" s="48">
        <f>'Página11'!L20/'Página11'!$F20</f>
        <v>0.9975895772</v>
      </c>
      <c r="I20" s="48">
        <f>'Página11'!M20/'Página11'!$F20</f>
        <v>0.4775757937</v>
      </c>
      <c r="J20" s="48">
        <f>'Página11'!N20/'Página11'!$F20</f>
        <v>0.9975868956</v>
      </c>
      <c r="K20" s="48">
        <f>'Página11'!O20/'Página11'!$F20</f>
        <v>0.1675999751</v>
      </c>
      <c r="L20" s="48">
        <f>'Página11'!P20/'Página11'!$K20</f>
        <v>0.9978063587</v>
      </c>
      <c r="M20" s="48">
        <f>'Página11'!Q20/'Página11'!$K20</f>
        <v>0.5365473435</v>
      </c>
      <c r="N20" s="48">
        <f>'Página11'!R20/'Página11'!$K20</f>
        <v>0.9978040991</v>
      </c>
      <c r="O20" s="48">
        <f>'Página11'!S20/'Página11'!$K20</f>
        <v>0.1882953922</v>
      </c>
    </row>
    <row r="21">
      <c r="A21" s="34">
        <v>45658.0</v>
      </c>
      <c r="B21" s="48">
        <f t="shared" si="1"/>
        <v>1.330121108</v>
      </c>
      <c r="C21" s="48">
        <f t="shared" si="2"/>
        <v>1.050620956</v>
      </c>
      <c r="D21" s="48">
        <f>'Página11'!F21/'Página11'!$F21</f>
        <v>1</v>
      </c>
      <c r="E21" s="48">
        <f t="shared" si="3"/>
        <v>1.387728856</v>
      </c>
      <c r="F21" s="48">
        <f t="shared" si="4"/>
        <v>1.0577268</v>
      </c>
      <c r="G21" s="48">
        <f>'Página11'!K21/'Página11'!$K21</f>
        <v>1</v>
      </c>
      <c r="H21" s="48">
        <f>'Página11'!L21/'Página11'!$F21</f>
        <v>0.8995025101</v>
      </c>
      <c r="I21" s="48">
        <f>'Página11'!M21/'Página11'!$F21</f>
        <v>0.4306185981</v>
      </c>
      <c r="J21" s="48">
        <f>'Página11'!N21/'Página11'!$F21</f>
        <v>0.8995000922</v>
      </c>
      <c r="K21" s="48">
        <f>'Página11'!O21/'Página11'!$F21</f>
        <v>0.1511208634</v>
      </c>
      <c r="L21" s="48">
        <f>'Página11'!P21/'Página11'!$K21</f>
        <v>0.9077288558</v>
      </c>
      <c r="M21" s="48">
        <f>'Página11'!Q21/'Página11'!$K21</f>
        <v>0.488110245</v>
      </c>
      <c r="N21" s="48">
        <f>'Página11'!R21/'Página11'!$K21</f>
        <v>0.9077268003</v>
      </c>
      <c r="O21" s="48">
        <f>'Página11'!S21/'Página11'!$K21</f>
        <v>0.1712969249</v>
      </c>
    </row>
    <row r="22">
      <c r="A22" s="34">
        <v>45689.0</v>
      </c>
      <c r="B22" s="48">
        <f t="shared" si="1"/>
        <v>1.401379733</v>
      </c>
      <c r="C22" s="48">
        <f t="shared" si="2"/>
        <v>1.111069301</v>
      </c>
      <c r="D22" s="48">
        <f>'Página11'!F22/'Página11'!$F22</f>
        <v>1</v>
      </c>
      <c r="E22" s="48">
        <f t="shared" si="3"/>
        <v>1.457728856</v>
      </c>
      <c r="F22" s="48">
        <f t="shared" si="4"/>
        <v>1.1277268</v>
      </c>
      <c r="G22" s="48">
        <f>'Página11'!K22/'Página11'!$K22</f>
        <v>1</v>
      </c>
      <c r="H22" s="48">
        <f>'Página11'!L22/'Página11'!$F22</f>
        <v>0.8995025101</v>
      </c>
      <c r="I22" s="48">
        <f>'Página11'!M22/'Página11'!$F22</f>
        <v>0.5018772234</v>
      </c>
      <c r="J22" s="48">
        <f>'Página11'!N22/'Página11'!$F22</f>
        <v>0.8995000922</v>
      </c>
      <c r="K22" s="48">
        <f>'Página11'!O22/'Página11'!$F22</f>
        <v>0.2115692088</v>
      </c>
      <c r="L22" s="48">
        <f>'Página11'!P22/'Página11'!$K22</f>
        <v>0.9077288558</v>
      </c>
      <c r="M22" s="48">
        <f>'Página11'!Q22/'Página11'!$K22</f>
        <v>0.5688825692</v>
      </c>
      <c r="N22" s="48">
        <f>'Página11'!R22/'Página11'!$K22</f>
        <v>0.9077268003</v>
      </c>
      <c r="O22" s="48">
        <f>'Página11'!S22/'Página11'!$K22</f>
        <v>0.2398156949</v>
      </c>
    </row>
    <row r="23">
      <c r="A23" s="34">
        <v>45778.0</v>
      </c>
      <c r="B23" s="48">
        <f t="shared" si="1"/>
        <v>1.401379733</v>
      </c>
      <c r="C23" s="48">
        <f t="shared" si="2"/>
        <v>1.111069301</v>
      </c>
      <c r="D23" s="48">
        <f>'Página11'!F23/'Página11'!$F23</f>
        <v>1</v>
      </c>
      <c r="E23" s="48">
        <f t="shared" si="3"/>
        <v>1.457728856</v>
      </c>
      <c r="F23" s="48">
        <f t="shared" si="4"/>
        <v>1.1277268</v>
      </c>
      <c r="G23" s="48">
        <f>'Página11'!K23/'Página11'!$K23</f>
        <v>1</v>
      </c>
      <c r="H23" s="48">
        <f>'Página11'!L23/'Página11'!$F23</f>
        <v>0.8995025101</v>
      </c>
      <c r="I23" s="48">
        <f>'Página11'!M23/'Página11'!$F23</f>
        <v>0.5018772234</v>
      </c>
      <c r="J23" s="48">
        <f>'Página11'!N23/'Página11'!$F23</f>
        <v>0.8995000922</v>
      </c>
      <c r="K23" s="48">
        <f>'Página11'!O23/'Página11'!$F23</f>
        <v>0.2115692088</v>
      </c>
      <c r="L23" s="48">
        <f>'Página11'!P23/'Página11'!$K23</f>
        <v>0.9077288558</v>
      </c>
      <c r="M23" s="48">
        <f>'Página11'!Q23/'Página11'!$K23</f>
        <v>0.5688825692</v>
      </c>
      <c r="N23" s="48">
        <f>'Página11'!R23/'Página11'!$K23</f>
        <v>0.9077268003</v>
      </c>
      <c r="O23" s="48">
        <f>'Página11'!S23/'Página11'!$K23</f>
        <v>0.2398156949</v>
      </c>
    </row>
    <row r="24">
      <c r="A24" s="34">
        <v>46054.0</v>
      </c>
      <c r="B24" s="48">
        <f t="shared" si="1"/>
        <v>1.401379733</v>
      </c>
      <c r="C24" s="48">
        <f t="shared" si="2"/>
        <v>1.111069301</v>
      </c>
      <c r="D24" s="48">
        <f>'Página11'!F24/'Página11'!$F24</f>
        <v>1</v>
      </c>
      <c r="E24" s="48">
        <f t="shared" si="3"/>
        <v>1.457728856</v>
      </c>
      <c r="F24" s="48">
        <f t="shared" si="4"/>
        <v>1.1277268</v>
      </c>
      <c r="G24" s="48">
        <f>'Página11'!K24/'Página11'!$K24</f>
        <v>1</v>
      </c>
      <c r="H24" s="48">
        <f>'Página11'!L24/'Página11'!$F24</f>
        <v>0.8995025101</v>
      </c>
      <c r="I24" s="48">
        <f>'Página11'!M24/'Página11'!$F24</f>
        <v>0.5018772234</v>
      </c>
      <c r="J24" s="48">
        <f>'Página11'!N24/'Página11'!$F24</f>
        <v>0.8995000922</v>
      </c>
      <c r="K24" s="48">
        <f>'Página11'!O24/'Página11'!$F24</f>
        <v>0.2115692088</v>
      </c>
      <c r="L24" s="48">
        <f>'Página11'!P24/'Página11'!$K24</f>
        <v>0.9077288558</v>
      </c>
      <c r="M24" s="48">
        <f>'Página11'!Q24/'Página11'!$K24</f>
        <v>0.5688825692</v>
      </c>
      <c r="N24" s="48">
        <f>'Página11'!R24/'Página11'!$K24</f>
        <v>0.9077268003</v>
      </c>
      <c r="O24" s="48">
        <f>'Página11'!S24/'Página11'!$K24</f>
        <v>0.2398156949</v>
      </c>
    </row>
    <row r="25">
      <c r="A25" s="34">
        <v>46113.0</v>
      </c>
      <c r="B25" s="48">
        <f t="shared" si="1"/>
        <v>1.263590505</v>
      </c>
      <c r="C25" s="48">
        <f t="shared" si="2"/>
        <v>1.124460402</v>
      </c>
      <c r="D25" s="48">
        <f>'Página11'!F25/'Página11'!$F25</f>
        <v>1</v>
      </c>
      <c r="E25" s="48">
        <f t="shared" si="3"/>
        <v>1.325118318</v>
      </c>
      <c r="F25" s="48">
        <f t="shared" si="4"/>
        <v>1.145116449</v>
      </c>
      <c r="G25" s="48">
        <f>'Página11'!K25/'Página11'!$K25</f>
        <v>1</v>
      </c>
      <c r="H25" s="48">
        <f>'Página11'!L25/'Página11'!$F25</f>
        <v>0.8110598463</v>
      </c>
      <c r="I25" s="48">
        <f>'Página11'!M25/'Página11'!$F25</f>
        <v>0.452530659</v>
      </c>
      <c r="J25" s="48">
        <f>'Página11'!N25/'Página11'!$F25</f>
        <v>0.8110576661</v>
      </c>
      <c r="K25" s="48">
        <f>'Página11'!O25/'Página11'!$F25</f>
        <v>0.3134027361</v>
      </c>
      <c r="L25" s="48">
        <f>'Página11'!P25/'Página11'!$K25</f>
        <v>0.8251183179</v>
      </c>
      <c r="M25" s="48">
        <f>'Página11'!Q25/'Página11'!$K25</f>
        <v>0.5171097355</v>
      </c>
      <c r="N25" s="48">
        <f>'Página11'!R25/'Página11'!$K25</f>
        <v>0.8251164494</v>
      </c>
      <c r="O25" s="48">
        <f>'Página11'!S25/'Página11'!$K25</f>
        <v>0.3581273507</v>
      </c>
    </row>
    <row r="26">
      <c r="A26" s="34">
        <v>46143.0</v>
      </c>
      <c r="B26" s="48">
        <f t="shared" si="1"/>
        <v>1.263590505</v>
      </c>
      <c r="C26" s="48">
        <f t="shared" si="2"/>
        <v>1.124460402</v>
      </c>
      <c r="D26" s="48">
        <f>'Página11'!F26/'Página11'!$F26</f>
        <v>1</v>
      </c>
      <c r="E26" s="48">
        <f t="shared" si="3"/>
        <v>1.325118318</v>
      </c>
      <c r="F26" s="48">
        <f t="shared" si="4"/>
        <v>1.145116449</v>
      </c>
      <c r="G26" s="48">
        <f>'Página11'!K26/'Página11'!$K26</f>
        <v>1</v>
      </c>
      <c r="H26" s="48">
        <f>'Página11'!L26/'Página11'!$F26</f>
        <v>0.8110598463</v>
      </c>
      <c r="I26" s="48">
        <f>'Página11'!M26/'Página11'!$F26</f>
        <v>0.452530659</v>
      </c>
      <c r="J26" s="48">
        <f>'Página11'!N26/'Página11'!$F26</f>
        <v>0.8110576661</v>
      </c>
      <c r="K26" s="48">
        <f>'Página11'!O26/'Página11'!$F26</f>
        <v>0.3134027361</v>
      </c>
      <c r="L26" s="48">
        <f>'Página11'!P26/'Página11'!$K26</f>
        <v>0.8251183179</v>
      </c>
      <c r="M26" s="48">
        <f>'Página11'!Q26/'Página11'!$K26</f>
        <v>0.5171097355</v>
      </c>
      <c r="N26" s="48">
        <f>'Página11'!R26/'Página11'!$K26</f>
        <v>0.8251164494</v>
      </c>
      <c r="O26" s="48">
        <f>'Página11'!S26/'Página11'!$K26</f>
        <v>0.3581273507</v>
      </c>
    </row>
    <row r="27">
      <c r="A27" s="34">
        <v>46419.0</v>
      </c>
      <c r="B27" s="48">
        <f t="shared" si="1"/>
        <v>1.263590505</v>
      </c>
      <c r="C27" s="48">
        <f t="shared" si="2"/>
        <v>1.135429498</v>
      </c>
      <c r="D27" s="48">
        <f>'Página11'!F27/'Página11'!$F27</f>
        <v>1</v>
      </c>
      <c r="E27" s="48">
        <f t="shared" si="3"/>
        <v>1.325118318</v>
      </c>
      <c r="F27" s="48">
        <f t="shared" si="4"/>
        <v>1.155116449</v>
      </c>
      <c r="G27" s="48">
        <f>'Página11'!K27/'Página11'!$K27</f>
        <v>1</v>
      </c>
      <c r="H27" s="48">
        <f>'Página11'!L27/'Página11'!$F27</f>
        <v>0.8110598463</v>
      </c>
      <c r="I27" s="48">
        <f>'Página11'!M27/'Página11'!$F27</f>
        <v>0.452530659</v>
      </c>
      <c r="J27" s="48">
        <f>'Página11'!N27/'Página11'!$F27</f>
        <v>0.8110576661</v>
      </c>
      <c r="K27" s="48">
        <f>'Página11'!O27/'Página11'!$F27</f>
        <v>0.3243718319</v>
      </c>
      <c r="L27" s="48">
        <f>'Página11'!P27/'Página11'!$K27</f>
        <v>0.8251183179</v>
      </c>
      <c r="M27" s="48">
        <f>'Página11'!Q27/'Página11'!$K27</f>
        <v>0.5171097355</v>
      </c>
      <c r="N27" s="48">
        <f>'Página11'!R27/'Página11'!$K27</f>
        <v>0.8251164494</v>
      </c>
      <c r="O27" s="48">
        <f>'Página11'!S27/'Página11'!$K27</f>
        <v>0.370661808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9.63"/>
    <col customWidth="1" min="3" max="3" width="10.0"/>
    <col customWidth="1" min="4" max="4" width="9.63"/>
    <col customWidth="1" min="5" max="7" width="11.5"/>
    <col customWidth="1" min="8" max="8" width="12.0"/>
    <col customWidth="1" min="9" max="9" width="9.63"/>
    <col customWidth="1" min="10" max="11" width="10.88"/>
    <col customWidth="1" min="12" max="12" width="12.0"/>
    <col customWidth="1" min="13" max="15" width="11.5"/>
    <col customWidth="1" min="16" max="16" width="4.75"/>
    <col customWidth="1" min="17" max="17" width="2.88"/>
  </cols>
  <sheetData>
    <row r="1">
      <c r="A1" s="32" t="s">
        <v>9</v>
      </c>
      <c r="B1" s="33" t="str">
        <f>'Página15'!B1</f>
        <v>PGFN (bruto)</v>
      </c>
      <c r="C1" s="33" t="str">
        <f>'Página15'!C1</f>
        <v>SERFB (bruto)</v>
      </c>
      <c r="D1" s="33" t="str">
        <f>'Página15'!D1</f>
        <v>STN (bruto)</v>
      </c>
      <c r="E1" s="33" t="str">
        <f>'Página15'!E1</f>
        <v>PGFN (líquido)</v>
      </c>
      <c r="F1" s="33" t="str">
        <f>'Página15'!F1</f>
        <v>SERFB (líquido)</v>
      </c>
      <c r="G1" s="33" t="str">
        <f>'Página15'!G1</f>
        <v>STN (líquido)</v>
      </c>
      <c r="H1" s="33" t="str">
        <f>'Página15'!H1</f>
        <v>PGFN: subsídio (bruto)</v>
      </c>
      <c r="I1" s="33" t="str">
        <f>'Página15'!I1</f>
        <v>PGFN: HA (bruto)</v>
      </c>
      <c r="J1" s="33" t="str">
        <f>'Página15'!J1</f>
        <v>SERFB: VB (bruto)</v>
      </c>
      <c r="K1" s="33" t="str">
        <f>'Página15'!K1</f>
        <v>SERFB: BEP (bruto)</v>
      </c>
      <c r="L1" s="33" t="str">
        <f>'Página15'!L1</f>
        <v>PGFN: subsídio (líquido)</v>
      </c>
      <c r="M1" s="33" t="str">
        <f>'Página15'!M1</f>
        <v>PGFN: HA (líquido)</v>
      </c>
      <c r="N1" s="33" t="str">
        <f>'Página15'!N1</f>
        <v>SERFB: VB (líquido)</v>
      </c>
      <c r="O1" s="33" t="str">
        <f>'Página15'!O1</f>
        <v>SERFB: BEP (líquido)</v>
      </c>
      <c r="P1" s="32"/>
      <c r="Q1" s="32"/>
    </row>
    <row r="2">
      <c r="A2" s="34">
        <v>42370.0</v>
      </c>
      <c r="B2" s="48">
        <f t="shared" ref="B2:B73" si="1">IF(MONTH($A2)=12,2.333,1)*(H2+(I2/13.33333)*12)</f>
        <v>1.052631234</v>
      </c>
      <c r="C2" s="48">
        <f t="shared" ref="C2:C145" si="2">IF(MONTH($A2)=12,2.333,1)*(J2+(K2/13.33333)*12)</f>
        <v>1.05262843</v>
      </c>
      <c r="D2" s="48">
        <f>IF(MONTH($A2)=12,2.333,1)*VLOOKUP($A2,'Página15'!$A$1:$O$27,COLUMN(),TRUE)</f>
        <v>1</v>
      </c>
      <c r="E2" s="48">
        <f t="shared" ref="E2:E73" si="3">IF(MONTH($A2)=12,2.333,1)*(L2+(M2/13.33333)*12)</f>
        <v>1.049512785</v>
      </c>
      <c r="F2" s="48">
        <f t="shared" ref="F2:F145" si="4">IF(MONTH($A2)=12,2.333,1)*(N2+(O2/13.33333)*12)</f>
        <v>1.04950982</v>
      </c>
      <c r="G2" s="48">
        <f>IF(MONTH($A2)=12,2.333,1)*VLOOKUP($A2,'Página15'!$A$1:$O$27,COLUMN(),TRUE)</f>
        <v>1</v>
      </c>
      <c r="H2" s="48">
        <f>VLOOKUP($A2,'Página15'!$A$1:$O$27,COLUMN(),TRUE)</f>
        <v>1.052631234</v>
      </c>
      <c r="I2" s="48">
        <f>VLOOKUP($A2,'Página15'!$A$1:$O$27,COLUMN(),TRUE)</f>
        <v>0</v>
      </c>
      <c r="J2" s="48">
        <f>VLOOKUP($A2,'Página15'!$A$1:$O$27,COLUMN(),TRUE)</f>
        <v>1.05262843</v>
      </c>
      <c r="K2" s="48">
        <f>VLOOKUP($A2,'Página15'!$A$1:$O$27,COLUMN(),TRUE)</f>
        <v>0</v>
      </c>
      <c r="L2" s="48">
        <f>VLOOKUP($A2,'Página15'!$A$1:$O$27,COLUMN(),TRUE)</f>
        <v>1.049512785</v>
      </c>
      <c r="M2" s="48">
        <f>VLOOKUP($A2,'Página15'!$A$1:$O$27,COLUMN(),TRUE)</f>
        <v>0</v>
      </c>
      <c r="N2" s="48">
        <f>VLOOKUP($A2,'Página15'!$A$1:$O$27,COLUMN(),TRUE)</f>
        <v>1.04950982</v>
      </c>
      <c r="O2" s="48">
        <f>VLOOKUP($A2,'Página15'!$A$1:$O$27,COLUMN(),TRUE)</f>
        <v>0</v>
      </c>
      <c r="P2" s="73">
        <f t="shared" ref="P2:P145" si="5">YEAR(A2)</f>
        <v>2016</v>
      </c>
      <c r="Q2" s="73">
        <f t="shared" ref="Q2:Q145" si="6">MONTH(A2)</f>
        <v>1</v>
      </c>
    </row>
    <row r="3">
      <c r="A3" s="34">
        <v>42401.0</v>
      </c>
      <c r="B3" s="48">
        <f t="shared" si="1"/>
        <v>1.052631234</v>
      </c>
      <c r="C3" s="48">
        <f t="shared" si="2"/>
        <v>1.05262843</v>
      </c>
      <c r="D3" s="48">
        <f>IF(MONTH($A3)=12,2.333,1)*VLOOKUP($A3,'Página15'!$A$1:$O$27,COLUMN(),TRUE)</f>
        <v>1</v>
      </c>
      <c r="E3" s="48">
        <f t="shared" si="3"/>
        <v>1.049512785</v>
      </c>
      <c r="F3" s="48">
        <f t="shared" si="4"/>
        <v>1.04950982</v>
      </c>
      <c r="G3" s="48">
        <f>IF(MONTH($A3)=12,2.333,1)*VLOOKUP($A3,'Página15'!$A$1:$O$27,COLUMN(),TRUE)</f>
        <v>1</v>
      </c>
      <c r="H3" s="48">
        <f>VLOOKUP($A3,'Página15'!$A$1:$O$27,COLUMN(),TRUE)</f>
        <v>1.052631234</v>
      </c>
      <c r="I3" s="48">
        <f>VLOOKUP($A3,'Página15'!$A$1:$O$27,COLUMN(),TRUE)</f>
        <v>0</v>
      </c>
      <c r="J3" s="48">
        <f>VLOOKUP($A3,'Página15'!$A$1:$O$27,COLUMN(),TRUE)</f>
        <v>1.05262843</v>
      </c>
      <c r="K3" s="48">
        <f>VLOOKUP($A3,'Página15'!$A$1:$O$27,COLUMN(),TRUE)</f>
        <v>0</v>
      </c>
      <c r="L3" s="48">
        <f>VLOOKUP($A3,'Página15'!$A$1:$O$27,COLUMN(),TRUE)</f>
        <v>1.049512785</v>
      </c>
      <c r="M3" s="48">
        <f>VLOOKUP($A3,'Página15'!$A$1:$O$27,COLUMN(),TRUE)</f>
        <v>0</v>
      </c>
      <c r="N3" s="48">
        <f>VLOOKUP($A3,'Página15'!$A$1:$O$27,COLUMN(),TRUE)</f>
        <v>1.04950982</v>
      </c>
      <c r="O3" s="48">
        <f>VLOOKUP($A3,'Página15'!$A$1:$O$27,COLUMN(),TRUE)</f>
        <v>0</v>
      </c>
      <c r="P3" s="73">
        <f t="shared" si="5"/>
        <v>2016</v>
      </c>
      <c r="Q3" s="73">
        <f t="shared" si="6"/>
        <v>2</v>
      </c>
    </row>
    <row r="4">
      <c r="A4" s="34">
        <v>42430.0</v>
      </c>
      <c r="B4" s="48">
        <f t="shared" si="1"/>
        <v>1.052631234</v>
      </c>
      <c r="C4" s="48">
        <f t="shared" si="2"/>
        <v>1.05262843</v>
      </c>
      <c r="D4" s="48">
        <f>IF(MONTH($A4)=12,2.333,1)*VLOOKUP($A4,'Página15'!$A$1:$O$27,COLUMN(),TRUE)</f>
        <v>1</v>
      </c>
      <c r="E4" s="48">
        <f t="shared" si="3"/>
        <v>1.049512785</v>
      </c>
      <c r="F4" s="48">
        <f t="shared" si="4"/>
        <v>1.04950982</v>
      </c>
      <c r="G4" s="48">
        <f>IF(MONTH($A4)=12,2.333,1)*VLOOKUP($A4,'Página15'!$A$1:$O$27,COLUMN(),TRUE)</f>
        <v>1</v>
      </c>
      <c r="H4" s="48">
        <f>VLOOKUP($A4,'Página15'!$A$1:$O$27,COLUMN(),TRUE)</f>
        <v>1.052631234</v>
      </c>
      <c r="I4" s="48">
        <f>VLOOKUP($A4,'Página15'!$A$1:$O$27,COLUMN(),TRUE)</f>
        <v>0</v>
      </c>
      <c r="J4" s="48">
        <f>VLOOKUP($A4,'Página15'!$A$1:$O$27,COLUMN(),TRUE)</f>
        <v>1.05262843</v>
      </c>
      <c r="K4" s="48">
        <f>VLOOKUP($A4,'Página15'!$A$1:$O$27,COLUMN(),TRUE)</f>
        <v>0</v>
      </c>
      <c r="L4" s="48">
        <f>VLOOKUP($A4,'Página15'!$A$1:$O$27,COLUMN(),TRUE)</f>
        <v>1.049512785</v>
      </c>
      <c r="M4" s="48">
        <f>VLOOKUP($A4,'Página15'!$A$1:$O$27,COLUMN(),TRUE)</f>
        <v>0</v>
      </c>
      <c r="N4" s="48">
        <f>VLOOKUP($A4,'Página15'!$A$1:$O$27,COLUMN(),TRUE)</f>
        <v>1.04950982</v>
      </c>
      <c r="O4" s="48">
        <f>VLOOKUP($A4,'Página15'!$A$1:$O$27,COLUMN(),TRUE)</f>
        <v>0</v>
      </c>
      <c r="P4" s="73">
        <f t="shared" si="5"/>
        <v>2016</v>
      </c>
      <c r="Q4" s="73">
        <f t="shared" si="6"/>
        <v>3</v>
      </c>
    </row>
    <row r="5">
      <c r="A5" s="34">
        <v>42461.0</v>
      </c>
      <c r="B5" s="48">
        <f t="shared" si="1"/>
        <v>1.052631234</v>
      </c>
      <c r="C5" s="48">
        <f t="shared" si="2"/>
        <v>1.05262843</v>
      </c>
      <c r="D5" s="48">
        <f>IF(MONTH($A5)=12,2.333,1)*VLOOKUP($A5,'Página15'!$A$1:$O$27,COLUMN(),TRUE)</f>
        <v>1</v>
      </c>
      <c r="E5" s="48">
        <f t="shared" si="3"/>
        <v>1.049512785</v>
      </c>
      <c r="F5" s="48">
        <f t="shared" si="4"/>
        <v>1.04950982</v>
      </c>
      <c r="G5" s="48">
        <f>IF(MONTH($A5)=12,2.333,1)*VLOOKUP($A5,'Página15'!$A$1:$O$27,COLUMN(),TRUE)</f>
        <v>1</v>
      </c>
      <c r="H5" s="48">
        <f>VLOOKUP($A5,'Página15'!$A$1:$O$27,COLUMN(),TRUE)</f>
        <v>1.052631234</v>
      </c>
      <c r="I5" s="48">
        <f>VLOOKUP($A5,'Página15'!$A$1:$O$27,COLUMN(),TRUE)</f>
        <v>0</v>
      </c>
      <c r="J5" s="48">
        <f>VLOOKUP($A5,'Página15'!$A$1:$O$27,COLUMN(),TRUE)</f>
        <v>1.05262843</v>
      </c>
      <c r="K5" s="48">
        <f>VLOOKUP($A5,'Página15'!$A$1:$O$27,COLUMN(),TRUE)</f>
        <v>0</v>
      </c>
      <c r="L5" s="48">
        <f>VLOOKUP($A5,'Página15'!$A$1:$O$27,COLUMN(),TRUE)</f>
        <v>1.049512785</v>
      </c>
      <c r="M5" s="48">
        <f>VLOOKUP($A5,'Página15'!$A$1:$O$27,COLUMN(),TRUE)</f>
        <v>0</v>
      </c>
      <c r="N5" s="48">
        <f>VLOOKUP($A5,'Página15'!$A$1:$O$27,COLUMN(),TRUE)</f>
        <v>1.04950982</v>
      </c>
      <c r="O5" s="48">
        <f>VLOOKUP($A5,'Página15'!$A$1:$O$27,COLUMN(),TRUE)</f>
        <v>0</v>
      </c>
      <c r="P5" s="73">
        <f t="shared" si="5"/>
        <v>2016</v>
      </c>
      <c r="Q5" s="73">
        <f t="shared" si="6"/>
        <v>4</v>
      </c>
    </row>
    <row r="6">
      <c r="A6" s="34">
        <v>42491.0</v>
      </c>
      <c r="B6" s="48">
        <f t="shared" si="1"/>
        <v>1.052631234</v>
      </c>
      <c r="C6" s="48">
        <f t="shared" si="2"/>
        <v>1.05262843</v>
      </c>
      <c r="D6" s="48">
        <f>IF(MONTH($A6)=12,2.333,1)*VLOOKUP($A6,'Página15'!$A$1:$O$27,COLUMN(),TRUE)</f>
        <v>1</v>
      </c>
      <c r="E6" s="48">
        <f t="shared" si="3"/>
        <v>1.049512785</v>
      </c>
      <c r="F6" s="48">
        <f t="shared" si="4"/>
        <v>1.04950982</v>
      </c>
      <c r="G6" s="48">
        <f>IF(MONTH($A6)=12,2.333,1)*VLOOKUP($A6,'Página15'!$A$1:$O$27,COLUMN(),TRUE)</f>
        <v>1</v>
      </c>
      <c r="H6" s="48">
        <f>VLOOKUP($A6,'Página15'!$A$1:$O$27,COLUMN(),TRUE)</f>
        <v>1.052631234</v>
      </c>
      <c r="I6" s="48">
        <f>VLOOKUP($A6,'Página15'!$A$1:$O$27,COLUMN(),TRUE)</f>
        <v>0</v>
      </c>
      <c r="J6" s="48">
        <f>VLOOKUP($A6,'Página15'!$A$1:$O$27,COLUMN(),TRUE)</f>
        <v>1.05262843</v>
      </c>
      <c r="K6" s="48">
        <f>VLOOKUP($A6,'Página15'!$A$1:$O$27,COLUMN(),TRUE)</f>
        <v>0</v>
      </c>
      <c r="L6" s="48">
        <f>VLOOKUP($A6,'Página15'!$A$1:$O$27,COLUMN(),TRUE)</f>
        <v>1.049512785</v>
      </c>
      <c r="M6" s="48">
        <f>VLOOKUP($A6,'Página15'!$A$1:$O$27,COLUMN(),TRUE)</f>
        <v>0</v>
      </c>
      <c r="N6" s="48">
        <f>VLOOKUP($A6,'Página15'!$A$1:$O$27,COLUMN(),TRUE)</f>
        <v>1.04950982</v>
      </c>
      <c r="O6" s="48">
        <f>VLOOKUP($A6,'Página15'!$A$1:$O$27,COLUMN(),TRUE)</f>
        <v>0</v>
      </c>
      <c r="P6" s="73">
        <f t="shared" si="5"/>
        <v>2016</v>
      </c>
      <c r="Q6" s="73">
        <f t="shared" si="6"/>
        <v>5</v>
      </c>
    </row>
    <row r="7">
      <c r="A7" s="34">
        <v>42522.0</v>
      </c>
      <c r="B7" s="48">
        <f t="shared" si="1"/>
        <v>1.052631234</v>
      </c>
      <c r="C7" s="48">
        <f t="shared" si="2"/>
        <v>1.05262843</v>
      </c>
      <c r="D7" s="48">
        <f>IF(MONTH($A7)=12,2.333,1)*VLOOKUP($A7,'Página15'!$A$1:$O$27,COLUMN(),TRUE)</f>
        <v>1</v>
      </c>
      <c r="E7" s="48">
        <f t="shared" si="3"/>
        <v>1.049512785</v>
      </c>
      <c r="F7" s="48">
        <f t="shared" si="4"/>
        <v>1.04950982</v>
      </c>
      <c r="G7" s="48">
        <f>IF(MONTH($A7)=12,2.333,1)*VLOOKUP($A7,'Página15'!$A$1:$O$27,COLUMN(),TRUE)</f>
        <v>1</v>
      </c>
      <c r="H7" s="48">
        <f>VLOOKUP($A7,'Página15'!$A$1:$O$27,COLUMN(),TRUE)</f>
        <v>1.052631234</v>
      </c>
      <c r="I7" s="48">
        <f>VLOOKUP($A7,'Página15'!$A$1:$O$27,COLUMN(),TRUE)</f>
        <v>0</v>
      </c>
      <c r="J7" s="48">
        <f>VLOOKUP($A7,'Página15'!$A$1:$O$27,COLUMN(),TRUE)</f>
        <v>1.05262843</v>
      </c>
      <c r="K7" s="48">
        <f>VLOOKUP($A7,'Página15'!$A$1:$O$27,COLUMN(),TRUE)</f>
        <v>0</v>
      </c>
      <c r="L7" s="48">
        <f>VLOOKUP($A7,'Página15'!$A$1:$O$27,COLUMN(),TRUE)</f>
        <v>1.049512785</v>
      </c>
      <c r="M7" s="48">
        <f>VLOOKUP($A7,'Página15'!$A$1:$O$27,COLUMN(),TRUE)</f>
        <v>0</v>
      </c>
      <c r="N7" s="48">
        <f>VLOOKUP($A7,'Página15'!$A$1:$O$27,COLUMN(),TRUE)</f>
        <v>1.04950982</v>
      </c>
      <c r="O7" s="48">
        <f>VLOOKUP($A7,'Página15'!$A$1:$O$27,COLUMN(),TRUE)</f>
        <v>0</v>
      </c>
      <c r="P7" s="73">
        <f t="shared" si="5"/>
        <v>2016</v>
      </c>
      <c r="Q7" s="73">
        <f t="shared" si="6"/>
        <v>6</v>
      </c>
    </row>
    <row r="8">
      <c r="A8" s="34">
        <v>42552.0</v>
      </c>
      <c r="B8" s="48">
        <f t="shared" si="1"/>
        <v>1.052631234</v>
      </c>
      <c r="C8" s="48">
        <f t="shared" si="2"/>
        <v>1.05262843</v>
      </c>
      <c r="D8" s="48">
        <f>IF(MONTH($A8)=12,2.333,1)*VLOOKUP($A8,'Página15'!$A$1:$O$27,COLUMN(),TRUE)</f>
        <v>1</v>
      </c>
      <c r="E8" s="48">
        <f t="shared" si="3"/>
        <v>1.049512785</v>
      </c>
      <c r="F8" s="48">
        <f t="shared" si="4"/>
        <v>1.04950982</v>
      </c>
      <c r="G8" s="48">
        <f>IF(MONTH($A8)=12,2.333,1)*VLOOKUP($A8,'Página15'!$A$1:$O$27,COLUMN(),TRUE)</f>
        <v>1</v>
      </c>
      <c r="H8" s="48">
        <f>VLOOKUP($A8,'Página15'!$A$1:$O$27,COLUMN(),TRUE)</f>
        <v>1.052631234</v>
      </c>
      <c r="I8" s="48">
        <f>VLOOKUP($A8,'Página15'!$A$1:$O$27,COLUMN(),TRUE)</f>
        <v>0</v>
      </c>
      <c r="J8" s="48">
        <f>VLOOKUP($A8,'Página15'!$A$1:$O$27,COLUMN(),TRUE)</f>
        <v>1.05262843</v>
      </c>
      <c r="K8" s="48">
        <f>VLOOKUP($A8,'Página15'!$A$1:$O$27,COLUMN(),TRUE)</f>
        <v>0</v>
      </c>
      <c r="L8" s="48">
        <f>VLOOKUP($A8,'Página15'!$A$1:$O$27,COLUMN(),TRUE)</f>
        <v>1.049512785</v>
      </c>
      <c r="M8" s="48">
        <f>VLOOKUP($A8,'Página15'!$A$1:$O$27,COLUMN(),TRUE)</f>
        <v>0</v>
      </c>
      <c r="N8" s="48">
        <f>VLOOKUP($A8,'Página15'!$A$1:$O$27,COLUMN(),TRUE)</f>
        <v>1.04950982</v>
      </c>
      <c r="O8" s="48">
        <f>VLOOKUP($A8,'Página15'!$A$1:$O$27,COLUMN(),TRUE)</f>
        <v>0</v>
      </c>
      <c r="P8" s="73">
        <f t="shared" si="5"/>
        <v>2016</v>
      </c>
      <c r="Q8" s="73">
        <f t="shared" si="6"/>
        <v>7</v>
      </c>
    </row>
    <row r="9">
      <c r="A9" s="34">
        <v>42583.0</v>
      </c>
      <c r="B9" s="48">
        <f t="shared" si="1"/>
        <v>1.172271706</v>
      </c>
      <c r="C9" s="48">
        <f t="shared" si="2"/>
        <v>0.9977520881</v>
      </c>
      <c r="D9" s="48">
        <f>IF(MONTH($A9)=12,2.333,1)*VLOOKUP($A9,'Página15'!$A$1:$O$27,COLUMN(),TRUE)</f>
        <v>1</v>
      </c>
      <c r="E9" s="48">
        <f t="shared" si="3"/>
        <v>1.17652039</v>
      </c>
      <c r="F9" s="48">
        <f t="shared" si="4"/>
        <v>0.9978787168</v>
      </c>
      <c r="G9" s="48">
        <f>IF(MONTH($A9)=12,2.333,1)*VLOOKUP($A9,'Página15'!$A$1:$O$27,COLUMN(),TRUE)</f>
        <v>1</v>
      </c>
      <c r="H9" s="48">
        <f>VLOOKUP($A9,'Página15'!$A$1:$O$27,COLUMN(),TRUE)</f>
        <v>1.052631182</v>
      </c>
      <c r="I9" s="48">
        <f>VLOOKUP($A9,'Página15'!$A$1:$O$27,COLUMN(),TRUE)</f>
        <v>0.1329338818</v>
      </c>
      <c r="J9" s="48">
        <f>VLOOKUP($A9,'Página15'!$A$1:$O$27,COLUMN(),TRUE)</f>
        <v>0.9977520881</v>
      </c>
      <c r="K9" s="48">
        <f>VLOOKUP($A9,'Página15'!$A$1:$O$27,COLUMN(),TRUE)</f>
        <v>0</v>
      </c>
      <c r="L9" s="48">
        <f>VLOOKUP($A9,'Página15'!$A$1:$O$27,COLUMN(),TRUE)</f>
        <v>1.049666216</v>
      </c>
      <c r="M9" s="48">
        <f>VLOOKUP($A9,'Página15'!$A$1:$O$27,COLUMN(),TRUE)</f>
        <v>0.1409490469</v>
      </c>
      <c r="N9" s="48">
        <f>VLOOKUP($A9,'Página15'!$A$1:$O$27,COLUMN(),TRUE)</f>
        <v>0.9978787168</v>
      </c>
      <c r="O9" s="48">
        <f>VLOOKUP($A9,'Página15'!$A$1:$O$27,COLUMN(),TRUE)</f>
        <v>0</v>
      </c>
      <c r="P9" s="73">
        <f t="shared" si="5"/>
        <v>2016</v>
      </c>
      <c r="Q9" s="73">
        <f t="shared" si="6"/>
        <v>8</v>
      </c>
    </row>
    <row r="10">
      <c r="A10" s="34">
        <v>42614.0</v>
      </c>
      <c r="B10" s="48">
        <f t="shared" si="1"/>
        <v>1.172271706</v>
      </c>
      <c r="C10" s="48">
        <f t="shared" si="2"/>
        <v>1.117392612</v>
      </c>
      <c r="D10" s="48">
        <f>IF(MONTH($A10)=12,2.333,1)*VLOOKUP($A10,'Página15'!$A$1:$O$27,COLUMN(),TRUE)</f>
        <v>1</v>
      </c>
      <c r="E10" s="48">
        <f t="shared" si="3"/>
        <v>1.17652039</v>
      </c>
      <c r="F10" s="48">
        <f t="shared" si="4"/>
        <v>1.124732891</v>
      </c>
      <c r="G10" s="48">
        <f>IF(MONTH($A10)=12,2.333,1)*VLOOKUP($A10,'Página15'!$A$1:$O$27,COLUMN(),TRUE)</f>
        <v>1</v>
      </c>
      <c r="H10" s="48">
        <f>VLOOKUP($A10,'Página15'!$A$1:$O$27,COLUMN(),TRUE)</f>
        <v>1.052631182</v>
      </c>
      <c r="I10" s="48">
        <f>VLOOKUP($A10,'Página15'!$A$1:$O$27,COLUMN(),TRUE)</f>
        <v>0.1329338818</v>
      </c>
      <c r="J10" s="48">
        <f>VLOOKUP($A10,'Página15'!$A$1:$O$27,COLUMN(),TRUE)</f>
        <v>0.9977520881</v>
      </c>
      <c r="K10" s="48">
        <f>VLOOKUP($A10,'Página15'!$A$1:$O$27,COLUMN(),TRUE)</f>
        <v>0.1329338818</v>
      </c>
      <c r="L10" s="48">
        <f>VLOOKUP($A10,'Página15'!$A$1:$O$27,COLUMN(),TRUE)</f>
        <v>1.049666216</v>
      </c>
      <c r="M10" s="48">
        <f>VLOOKUP($A10,'Página15'!$A$1:$O$27,COLUMN(),TRUE)</f>
        <v>0.1409490469</v>
      </c>
      <c r="N10" s="48">
        <f>VLOOKUP($A10,'Página15'!$A$1:$O$27,COLUMN(),TRUE)</f>
        <v>0.9978787168</v>
      </c>
      <c r="O10" s="48">
        <f>VLOOKUP($A10,'Página15'!$A$1:$O$27,COLUMN(),TRUE)</f>
        <v>0.1409490469</v>
      </c>
      <c r="P10" s="73">
        <f t="shared" si="5"/>
        <v>2016</v>
      </c>
      <c r="Q10" s="73">
        <f t="shared" si="6"/>
        <v>9</v>
      </c>
    </row>
    <row r="11">
      <c r="A11" s="34">
        <v>42644.0</v>
      </c>
      <c r="B11" s="48">
        <f t="shared" si="1"/>
        <v>1.172271706</v>
      </c>
      <c r="C11" s="48">
        <f t="shared" si="2"/>
        <v>1.117392612</v>
      </c>
      <c r="D11" s="48">
        <f>IF(MONTH($A11)=12,2.333,1)*VLOOKUP($A11,'Página15'!$A$1:$O$27,COLUMN(),TRUE)</f>
        <v>1</v>
      </c>
      <c r="E11" s="48">
        <f t="shared" si="3"/>
        <v>1.17652039</v>
      </c>
      <c r="F11" s="48">
        <f t="shared" si="4"/>
        <v>1.124732891</v>
      </c>
      <c r="G11" s="48">
        <f>IF(MONTH($A11)=12,2.333,1)*VLOOKUP($A11,'Página15'!$A$1:$O$27,COLUMN(),TRUE)</f>
        <v>1</v>
      </c>
      <c r="H11" s="48">
        <f>VLOOKUP($A11,'Página15'!$A$1:$O$27,COLUMN(),TRUE)</f>
        <v>1.052631182</v>
      </c>
      <c r="I11" s="48">
        <f>VLOOKUP($A11,'Página15'!$A$1:$O$27,COLUMN(),TRUE)</f>
        <v>0.1329338818</v>
      </c>
      <c r="J11" s="48">
        <f>VLOOKUP($A11,'Página15'!$A$1:$O$27,COLUMN(),TRUE)</f>
        <v>0.9977520881</v>
      </c>
      <c r="K11" s="48">
        <f>VLOOKUP($A11,'Página15'!$A$1:$O$27,COLUMN(),TRUE)</f>
        <v>0.1329338818</v>
      </c>
      <c r="L11" s="48">
        <f>VLOOKUP($A11,'Página15'!$A$1:$O$27,COLUMN(),TRUE)</f>
        <v>1.049666216</v>
      </c>
      <c r="M11" s="48">
        <f>VLOOKUP($A11,'Página15'!$A$1:$O$27,COLUMN(),TRUE)</f>
        <v>0.1409490469</v>
      </c>
      <c r="N11" s="48">
        <f>VLOOKUP($A11,'Página15'!$A$1:$O$27,COLUMN(),TRUE)</f>
        <v>0.9978787168</v>
      </c>
      <c r="O11" s="48">
        <f>VLOOKUP($A11,'Página15'!$A$1:$O$27,COLUMN(),TRUE)</f>
        <v>0.1409490469</v>
      </c>
      <c r="P11" s="73">
        <f t="shared" si="5"/>
        <v>2016</v>
      </c>
      <c r="Q11" s="73">
        <f t="shared" si="6"/>
        <v>10</v>
      </c>
    </row>
    <row r="12">
      <c r="A12" s="34">
        <v>42675.0</v>
      </c>
      <c r="B12" s="48">
        <f t="shared" si="1"/>
        <v>1.172271706</v>
      </c>
      <c r="C12" s="48">
        <f t="shared" si="2"/>
        <v>1.117392612</v>
      </c>
      <c r="D12" s="48">
        <f>IF(MONTH($A12)=12,2.333,1)*VLOOKUP($A12,'Página15'!$A$1:$O$27,COLUMN(),TRUE)</f>
        <v>1</v>
      </c>
      <c r="E12" s="48">
        <f t="shared" si="3"/>
        <v>1.17652039</v>
      </c>
      <c r="F12" s="48">
        <f t="shared" si="4"/>
        <v>1.124732891</v>
      </c>
      <c r="G12" s="48">
        <f>IF(MONTH($A12)=12,2.333,1)*VLOOKUP($A12,'Página15'!$A$1:$O$27,COLUMN(),TRUE)</f>
        <v>1</v>
      </c>
      <c r="H12" s="48">
        <f>VLOOKUP($A12,'Página15'!$A$1:$O$27,COLUMN(),TRUE)</f>
        <v>1.052631182</v>
      </c>
      <c r="I12" s="48">
        <f>VLOOKUP($A12,'Página15'!$A$1:$O$27,COLUMN(),TRUE)</f>
        <v>0.1329338818</v>
      </c>
      <c r="J12" s="48">
        <f>VLOOKUP($A12,'Página15'!$A$1:$O$27,COLUMN(),TRUE)</f>
        <v>0.9977520881</v>
      </c>
      <c r="K12" s="48">
        <f>VLOOKUP($A12,'Página15'!$A$1:$O$27,COLUMN(),TRUE)</f>
        <v>0.1329338818</v>
      </c>
      <c r="L12" s="48">
        <f>VLOOKUP($A12,'Página15'!$A$1:$O$27,COLUMN(),TRUE)</f>
        <v>1.049666216</v>
      </c>
      <c r="M12" s="48">
        <f>VLOOKUP($A12,'Página15'!$A$1:$O$27,COLUMN(),TRUE)</f>
        <v>0.1409490469</v>
      </c>
      <c r="N12" s="48">
        <f>VLOOKUP($A12,'Página15'!$A$1:$O$27,COLUMN(),TRUE)</f>
        <v>0.9978787168</v>
      </c>
      <c r="O12" s="48">
        <f>VLOOKUP($A12,'Página15'!$A$1:$O$27,COLUMN(),TRUE)</f>
        <v>0.1409490469</v>
      </c>
      <c r="P12" s="73">
        <f t="shared" si="5"/>
        <v>2016</v>
      </c>
      <c r="Q12" s="73">
        <f t="shared" si="6"/>
        <v>11</v>
      </c>
    </row>
    <row r="13">
      <c r="A13" s="34">
        <v>42705.0</v>
      </c>
      <c r="B13" s="48">
        <f t="shared" si="1"/>
        <v>2.73490989</v>
      </c>
      <c r="C13" s="48">
        <f t="shared" si="2"/>
        <v>2.606876963</v>
      </c>
      <c r="D13" s="48">
        <f>IF(MONTH($A13)=12,2.333,1)*VLOOKUP($A13,'Página15'!$A$1:$O$27,COLUMN(),TRUE)</f>
        <v>2.333</v>
      </c>
      <c r="E13" s="48">
        <f t="shared" si="3"/>
        <v>2.744822069</v>
      </c>
      <c r="F13" s="48">
        <f t="shared" si="4"/>
        <v>2.624001834</v>
      </c>
      <c r="G13" s="48">
        <f>IF(MONTH($A13)=12,2.333,1)*VLOOKUP($A13,'Página15'!$A$1:$O$27,COLUMN(),TRUE)</f>
        <v>2.333</v>
      </c>
      <c r="H13" s="48">
        <f>VLOOKUP($A13,'Página15'!$A$1:$O$27,COLUMN(),TRUE)</f>
        <v>1.052631182</v>
      </c>
      <c r="I13" s="48">
        <f>VLOOKUP($A13,'Página15'!$A$1:$O$27,COLUMN(),TRUE)</f>
        <v>0.1329338818</v>
      </c>
      <c r="J13" s="48">
        <f>VLOOKUP($A13,'Página15'!$A$1:$O$27,COLUMN(),TRUE)</f>
        <v>0.9977520881</v>
      </c>
      <c r="K13" s="48">
        <f>VLOOKUP($A13,'Página15'!$A$1:$O$27,COLUMN(),TRUE)</f>
        <v>0.1329338818</v>
      </c>
      <c r="L13" s="48">
        <f>VLOOKUP($A13,'Página15'!$A$1:$O$27,COLUMN(),TRUE)</f>
        <v>1.049666216</v>
      </c>
      <c r="M13" s="48">
        <f>VLOOKUP($A13,'Página15'!$A$1:$O$27,COLUMN(),TRUE)</f>
        <v>0.1409490469</v>
      </c>
      <c r="N13" s="48">
        <f>VLOOKUP($A13,'Página15'!$A$1:$O$27,COLUMN(),TRUE)</f>
        <v>0.9978787168</v>
      </c>
      <c r="O13" s="48">
        <f>VLOOKUP($A13,'Página15'!$A$1:$O$27,COLUMN(),TRUE)</f>
        <v>0.1409490469</v>
      </c>
      <c r="P13" s="73">
        <f t="shared" si="5"/>
        <v>2016</v>
      </c>
      <c r="Q13" s="73">
        <f t="shared" si="6"/>
        <v>12</v>
      </c>
    </row>
    <row r="14">
      <c r="A14" s="34">
        <v>42736.0</v>
      </c>
      <c r="B14" s="48">
        <f t="shared" si="1"/>
        <v>1.169688461</v>
      </c>
      <c r="C14" s="48">
        <f t="shared" si="2"/>
        <v>1.144988608</v>
      </c>
      <c r="D14" s="48">
        <f>IF(MONTH($A14)=12,2.333,1)*VLOOKUP($A14,'Página15'!$A$1:$O$27,COLUMN(),TRUE)</f>
        <v>1</v>
      </c>
      <c r="E14" s="48">
        <f t="shared" si="3"/>
        <v>1.176701728</v>
      </c>
      <c r="F14" s="48">
        <f t="shared" si="4"/>
        <v>1.150416449</v>
      </c>
      <c r="G14" s="48">
        <f>IF(MONTH($A14)=12,2.333,1)*VLOOKUP($A14,'Página15'!$A$1:$O$27,COLUMN(),TRUE)</f>
        <v>1</v>
      </c>
      <c r="H14" s="48">
        <f>VLOOKUP($A14,'Página15'!$A$1:$O$27,COLUMN(),TRUE)</f>
        <v>1.033156247</v>
      </c>
      <c r="I14" s="48">
        <f>VLOOKUP($A14,'Página15'!$A$1:$O$27,COLUMN(),TRUE)</f>
        <v>0.1517024222</v>
      </c>
      <c r="J14" s="48">
        <f>VLOOKUP($A14,'Página15'!$A$1:$O$27,COLUMN(),TRUE)</f>
        <v>1.033153348</v>
      </c>
      <c r="K14" s="48">
        <f>VLOOKUP($A14,'Página15'!$A$1:$O$27,COLUMN(),TRUE)</f>
        <v>0.1242613697</v>
      </c>
      <c r="L14" s="48">
        <f>VLOOKUP($A14,'Página15'!$A$1:$O$27,COLUMN(),TRUE)</f>
        <v>1.031403388</v>
      </c>
      <c r="M14" s="48">
        <f>VLOOKUP($A14,'Página15'!$A$1:$O$27,COLUMN(),TRUE)</f>
        <v>0.16144256</v>
      </c>
      <c r="N14" s="48">
        <f>VLOOKUP($A14,'Página15'!$A$1:$O$27,COLUMN(),TRUE)</f>
        <v>1.031400743</v>
      </c>
      <c r="O14" s="48">
        <f>VLOOKUP($A14,'Página15'!$A$1:$O$27,COLUMN(),TRUE)</f>
        <v>0.1322396396</v>
      </c>
      <c r="P14" s="73">
        <f t="shared" si="5"/>
        <v>2017</v>
      </c>
      <c r="Q14" s="73">
        <f t="shared" si="6"/>
        <v>1</v>
      </c>
    </row>
    <row r="15">
      <c r="A15" s="34">
        <v>42767.0</v>
      </c>
      <c r="B15" s="48">
        <f t="shared" si="1"/>
        <v>1.169688461</v>
      </c>
      <c r="C15" s="48">
        <f t="shared" si="2"/>
        <v>1.144988608</v>
      </c>
      <c r="D15" s="48">
        <f>IF(MONTH($A15)=12,2.333,1)*VLOOKUP($A15,'Página15'!$A$1:$O$27,COLUMN(),TRUE)</f>
        <v>1</v>
      </c>
      <c r="E15" s="48">
        <f t="shared" si="3"/>
        <v>1.176701728</v>
      </c>
      <c r="F15" s="48">
        <f t="shared" si="4"/>
        <v>1.150416449</v>
      </c>
      <c r="G15" s="48">
        <f>IF(MONTH($A15)=12,2.333,1)*VLOOKUP($A15,'Página15'!$A$1:$O$27,COLUMN(),TRUE)</f>
        <v>1</v>
      </c>
      <c r="H15" s="48">
        <f>VLOOKUP($A15,'Página15'!$A$1:$O$27,COLUMN(),TRUE)</f>
        <v>1.033156247</v>
      </c>
      <c r="I15" s="48">
        <f>VLOOKUP($A15,'Página15'!$A$1:$O$27,COLUMN(),TRUE)</f>
        <v>0.1517024222</v>
      </c>
      <c r="J15" s="48">
        <f>VLOOKUP($A15,'Página15'!$A$1:$O$27,COLUMN(),TRUE)</f>
        <v>1.033153348</v>
      </c>
      <c r="K15" s="48">
        <f>VLOOKUP($A15,'Página15'!$A$1:$O$27,COLUMN(),TRUE)</f>
        <v>0.1242613697</v>
      </c>
      <c r="L15" s="48">
        <f>VLOOKUP($A15,'Página15'!$A$1:$O$27,COLUMN(),TRUE)</f>
        <v>1.031403388</v>
      </c>
      <c r="M15" s="48">
        <f>VLOOKUP($A15,'Página15'!$A$1:$O$27,COLUMN(),TRUE)</f>
        <v>0.16144256</v>
      </c>
      <c r="N15" s="48">
        <f>VLOOKUP($A15,'Página15'!$A$1:$O$27,COLUMN(),TRUE)</f>
        <v>1.031400743</v>
      </c>
      <c r="O15" s="48">
        <f>VLOOKUP($A15,'Página15'!$A$1:$O$27,COLUMN(),TRUE)</f>
        <v>0.1322396396</v>
      </c>
      <c r="P15" s="73">
        <f t="shared" si="5"/>
        <v>2017</v>
      </c>
      <c r="Q15" s="73">
        <f t="shared" si="6"/>
        <v>2</v>
      </c>
    </row>
    <row r="16">
      <c r="A16" s="34">
        <v>42795.0</v>
      </c>
      <c r="B16" s="48">
        <f t="shared" si="1"/>
        <v>1.169688461</v>
      </c>
      <c r="C16" s="48">
        <f t="shared" si="2"/>
        <v>1.144988608</v>
      </c>
      <c r="D16" s="48">
        <f>IF(MONTH($A16)=12,2.333,1)*VLOOKUP($A16,'Página15'!$A$1:$O$27,COLUMN(),TRUE)</f>
        <v>1</v>
      </c>
      <c r="E16" s="48">
        <f t="shared" si="3"/>
        <v>1.176701728</v>
      </c>
      <c r="F16" s="48">
        <f t="shared" si="4"/>
        <v>1.150416449</v>
      </c>
      <c r="G16" s="48">
        <f>IF(MONTH($A16)=12,2.333,1)*VLOOKUP($A16,'Página15'!$A$1:$O$27,COLUMN(),TRUE)</f>
        <v>1</v>
      </c>
      <c r="H16" s="48">
        <f>VLOOKUP($A16,'Página15'!$A$1:$O$27,COLUMN(),TRUE)</f>
        <v>1.033156247</v>
      </c>
      <c r="I16" s="48">
        <f>VLOOKUP($A16,'Página15'!$A$1:$O$27,COLUMN(),TRUE)</f>
        <v>0.1517024222</v>
      </c>
      <c r="J16" s="48">
        <f>VLOOKUP($A16,'Página15'!$A$1:$O$27,COLUMN(),TRUE)</f>
        <v>1.033153348</v>
      </c>
      <c r="K16" s="48">
        <f>VLOOKUP($A16,'Página15'!$A$1:$O$27,COLUMN(),TRUE)</f>
        <v>0.1242613697</v>
      </c>
      <c r="L16" s="48">
        <f>VLOOKUP($A16,'Página15'!$A$1:$O$27,COLUMN(),TRUE)</f>
        <v>1.031403388</v>
      </c>
      <c r="M16" s="48">
        <f>VLOOKUP($A16,'Página15'!$A$1:$O$27,COLUMN(),TRUE)</f>
        <v>0.16144256</v>
      </c>
      <c r="N16" s="48">
        <f>VLOOKUP($A16,'Página15'!$A$1:$O$27,COLUMN(),TRUE)</f>
        <v>1.031400743</v>
      </c>
      <c r="O16" s="48">
        <f>VLOOKUP($A16,'Página15'!$A$1:$O$27,COLUMN(),TRUE)</f>
        <v>0.1322396396</v>
      </c>
      <c r="P16" s="73">
        <f t="shared" si="5"/>
        <v>2017</v>
      </c>
      <c r="Q16" s="73">
        <f t="shared" si="6"/>
        <v>3</v>
      </c>
    </row>
    <row r="17">
      <c r="A17" s="34">
        <v>42826.0</v>
      </c>
      <c r="B17" s="48">
        <f t="shared" si="1"/>
        <v>1.169688461</v>
      </c>
      <c r="C17" s="48">
        <f t="shared" si="2"/>
        <v>1.144988608</v>
      </c>
      <c r="D17" s="48">
        <f>IF(MONTH($A17)=12,2.333,1)*VLOOKUP($A17,'Página15'!$A$1:$O$27,COLUMN(),TRUE)</f>
        <v>1</v>
      </c>
      <c r="E17" s="48">
        <f t="shared" si="3"/>
        <v>1.176701728</v>
      </c>
      <c r="F17" s="48">
        <f t="shared" si="4"/>
        <v>1.150416449</v>
      </c>
      <c r="G17" s="48">
        <f>IF(MONTH($A17)=12,2.333,1)*VLOOKUP($A17,'Página15'!$A$1:$O$27,COLUMN(),TRUE)</f>
        <v>1</v>
      </c>
      <c r="H17" s="48">
        <f>VLOOKUP($A17,'Página15'!$A$1:$O$27,COLUMN(),TRUE)</f>
        <v>1.033156247</v>
      </c>
      <c r="I17" s="48">
        <f>VLOOKUP($A17,'Página15'!$A$1:$O$27,COLUMN(),TRUE)</f>
        <v>0.1517024222</v>
      </c>
      <c r="J17" s="48">
        <f>VLOOKUP($A17,'Página15'!$A$1:$O$27,COLUMN(),TRUE)</f>
        <v>1.033153348</v>
      </c>
      <c r="K17" s="48">
        <f>VLOOKUP($A17,'Página15'!$A$1:$O$27,COLUMN(),TRUE)</f>
        <v>0.1242613697</v>
      </c>
      <c r="L17" s="48">
        <f>VLOOKUP($A17,'Página15'!$A$1:$O$27,COLUMN(),TRUE)</f>
        <v>1.031403388</v>
      </c>
      <c r="M17" s="48">
        <f>VLOOKUP($A17,'Página15'!$A$1:$O$27,COLUMN(),TRUE)</f>
        <v>0.16144256</v>
      </c>
      <c r="N17" s="48">
        <f>VLOOKUP($A17,'Página15'!$A$1:$O$27,COLUMN(),TRUE)</f>
        <v>1.031400743</v>
      </c>
      <c r="O17" s="48">
        <f>VLOOKUP($A17,'Página15'!$A$1:$O$27,COLUMN(),TRUE)</f>
        <v>0.1322396396</v>
      </c>
      <c r="P17" s="73">
        <f t="shared" si="5"/>
        <v>2017</v>
      </c>
      <c r="Q17" s="73">
        <f t="shared" si="6"/>
        <v>4</v>
      </c>
    </row>
    <row r="18">
      <c r="A18" s="34">
        <v>42856.0</v>
      </c>
      <c r="B18" s="48">
        <f t="shared" si="1"/>
        <v>1.169688461</v>
      </c>
      <c r="C18" s="48">
        <f t="shared" si="2"/>
        <v>1.144988608</v>
      </c>
      <c r="D18" s="48">
        <f>IF(MONTH($A18)=12,2.333,1)*VLOOKUP($A18,'Página15'!$A$1:$O$27,COLUMN(),TRUE)</f>
        <v>1</v>
      </c>
      <c r="E18" s="48">
        <f t="shared" si="3"/>
        <v>1.176701728</v>
      </c>
      <c r="F18" s="48">
        <f t="shared" si="4"/>
        <v>1.150416449</v>
      </c>
      <c r="G18" s="48">
        <f>IF(MONTH($A18)=12,2.333,1)*VLOOKUP($A18,'Página15'!$A$1:$O$27,COLUMN(),TRUE)</f>
        <v>1</v>
      </c>
      <c r="H18" s="48">
        <f>VLOOKUP($A18,'Página15'!$A$1:$O$27,COLUMN(),TRUE)</f>
        <v>1.033156247</v>
      </c>
      <c r="I18" s="48">
        <f>VLOOKUP($A18,'Página15'!$A$1:$O$27,COLUMN(),TRUE)</f>
        <v>0.1517024222</v>
      </c>
      <c r="J18" s="48">
        <f>VLOOKUP($A18,'Página15'!$A$1:$O$27,COLUMN(),TRUE)</f>
        <v>1.033153348</v>
      </c>
      <c r="K18" s="48">
        <f>VLOOKUP($A18,'Página15'!$A$1:$O$27,COLUMN(),TRUE)</f>
        <v>0.1242613697</v>
      </c>
      <c r="L18" s="48">
        <f>VLOOKUP($A18,'Página15'!$A$1:$O$27,COLUMN(),TRUE)</f>
        <v>1.031403388</v>
      </c>
      <c r="M18" s="48">
        <f>VLOOKUP($A18,'Página15'!$A$1:$O$27,COLUMN(),TRUE)</f>
        <v>0.16144256</v>
      </c>
      <c r="N18" s="48">
        <f>VLOOKUP($A18,'Página15'!$A$1:$O$27,COLUMN(),TRUE)</f>
        <v>1.031400743</v>
      </c>
      <c r="O18" s="48">
        <f>VLOOKUP($A18,'Página15'!$A$1:$O$27,COLUMN(),TRUE)</f>
        <v>0.1322396396</v>
      </c>
      <c r="P18" s="73">
        <f t="shared" si="5"/>
        <v>2017</v>
      </c>
      <c r="Q18" s="73">
        <f t="shared" si="6"/>
        <v>5</v>
      </c>
    </row>
    <row r="19">
      <c r="A19" s="34">
        <v>42887.0</v>
      </c>
      <c r="B19" s="48">
        <f t="shared" si="1"/>
        <v>1.169688461</v>
      </c>
      <c r="C19" s="48">
        <f t="shared" si="2"/>
        <v>1.144988608</v>
      </c>
      <c r="D19" s="48">
        <f>IF(MONTH($A19)=12,2.333,1)*VLOOKUP($A19,'Página15'!$A$1:$O$27,COLUMN(),TRUE)</f>
        <v>1</v>
      </c>
      <c r="E19" s="48">
        <f t="shared" si="3"/>
        <v>1.176701728</v>
      </c>
      <c r="F19" s="48">
        <f t="shared" si="4"/>
        <v>1.150416449</v>
      </c>
      <c r="G19" s="48">
        <f>IF(MONTH($A19)=12,2.333,1)*VLOOKUP($A19,'Página15'!$A$1:$O$27,COLUMN(),TRUE)</f>
        <v>1</v>
      </c>
      <c r="H19" s="48">
        <f>VLOOKUP($A19,'Página15'!$A$1:$O$27,COLUMN(),TRUE)</f>
        <v>1.033156247</v>
      </c>
      <c r="I19" s="48">
        <f>VLOOKUP($A19,'Página15'!$A$1:$O$27,COLUMN(),TRUE)</f>
        <v>0.1517024222</v>
      </c>
      <c r="J19" s="48">
        <f>VLOOKUP($A19,'Página15'!$A$1:$O$27,COLUMN(),TRUE)</f>
        <v>1.033153348</v>
      </c>
      <c r="K19" s="48">
        <f>VLOOKUP($A19,'Página15'!$A$1:$O$27,COLUMN(),TRUE)</f>
        <v>0.1242613697</v>
      </c>
      <c r="L19" s="48">
        <f>VLOOKUP($A19,'Página15'!$A$1:$O$27,COLUMN(),TRUE)</f>
        <v>1.031403388</v>
      </c>
      <c r="M19" s="48">
        <f>VLOOKUP($A19,'Página15'!$A$1:$O$27,COLUMN(),TRUE)</f>
        <v>0.16144256</v>
      </c>
      <c r="N19" s="48">
        <f>VLOOKUP($A19,'Página15'!$A$1:$O$27,COLUMN(),TRUE)</f>
        <v>1.031400743</v>
      </c>
      <c r="O19" s="48">
        <f>VLOOKUP($A19,'Página15'!$A$1:$O$27,COLUMN(),TRUE)</f>
        <v>0.1322396396</v>
      </c>
      <c r="P19" s="73">
        <f t="shared" si="5"/>
        <v>2017</v>
      </c>
      <c r="Q19" s="73">
        <f t="shared" si="6"/>
        <v>6</v>
      </c>
    </row>
    <row r="20">
      <c r="A20" s="34">
        <v>42917.0</v>
      </c>
      <c r="B20" s="48">
        <f t="shared" si="1"/>
        <v>1.169688461</v>
      </c>
      <c r="C20" s="48">
        <f t="shared" si="2"/>
        <v>1.144988608</v>
      </c>
      <c r="D20" s="48">
        <f>IF(MONTH($A20)=12,2.333,1)*VLOOKUP($A20,'Página15'!$A$1:$O$27,COLUMN(),TRUE)</f>
        <v>1</v>
      </c>
      <c r="E20" s="48">
        <f t="shared" si="3"/>
        <v>1.176701728</v>
      </c>
      <c r="F20" s="48">
        <f t="shared" si="4"/>
        <v>1.150416449</v>
      </c>
      <c r="G20" s="48">
        <f>IF(MONTH($A20)=12,2.333,1)*VLOOKUP($A20,'Página15'!$A$1:$O$27,COLUMN(),TRUE)</f>
        <v>1</v>
      </c>
      <c r="H20" s="48">
        <f>VLOOKUP($A20,'Página15'!$A$1:$O$27,COLUMN(),TRUE)</f>
        <v>1.033156247</v>
      </c>
      <c r="I20" s="48">
        <f>VLOOKUP($A20,'Página15'!$A$1:$O$27,COLUMN(),TRUE)</f>
        <v>0.1517024222</v>
      </c>
      <c r="J20" s="48">
        <f>VLOOKUP($A20,'Página15'!$A$1:$O$27,COLUMN(),TRUE)</f>
        <v>1.033153348</v>
      </c>
      <c r="K20" s="48">
        <f>VLOOKUP($A20,'Página15'!$A$1:$O$27,COLUMN(),TRUE)</f>
        <v>0.1242613697</v>
      </c>
      <c r="L20" s="48">
        <f>VLOOKUP($A20,'Página15'!$A$1:$O$27,COLUMN(),TRUE)</f>
        <v>1.031403388</v>
      </c>
      <c r="M20" s="48">
        <f>VLOOKUP($A20,'Página15'!$A$1:$O$27,COLUMN(),TRUE)</f>
        <v>0.16144256</v>
      </c>
      <c r="N20" s="48">
        <f>VLOOKUP($A20,'Página15'!$A$1:$O$27,COLUMN(),TRUE)</f>
        <v>1.031400743</v>
      </c>
      <c r="O20" s="48">
        <f>VLOOKUP($A20,'Página15'!$A$1:$O$27,COLUMN(),TRUE)</f>
        <v>0.1322396396</v>
      </c>
      <c r="P20" s="73">
        <f t="shared" si="5"/>
        <v>2017</v>
      </c>
      <c r="Q20" s="73">
        <f t="shared" si="6"/>
        <v>7</v>
      </c>
    </row>
    <row r="21">
      <c r="A21" s="34">
        <v>42948.0</v>
      </c>
      <c r="B21" s="48">
        <f t="shared" si="1"/>
        <v>1.169688461</v>
      </c>
      <c r="C21" s="48">
        <f t="shared" si="2"/>
        <v>1.144988608</v>
      </c>
      <c r="D21" s="48">
        <f>IF(MONTH($A21)=12,2.333,1)*VLOOKUP($A21,'Página15'!$A$1:$O$27,COLUMN(),TRUE)</f>
        <v>1</v>
      </c>
      <c r="E21" s="48">
        <f t="shared" si="3"/>
        <v>1.176701728</v>
      </c>
      <c r="F21" s="48">
        <f t="shared" si="4"/>
        <v>1.150416449</v>
      </c>
      <c r="G21" s="48">
        <f>IF(MONTH($A21)=12,2.333,1)*VLOOKUP($A21,'Página15'!$A$1:$O$27,COLUMN(),TRUE)</f>
        <v>1</v>
      </c>
      <c r="H21" s="48">
        <f>VLOOKUP($A21,'Página15'!$A$1:$O$27,COLUMN(),TRUE)</f>
        <v>1.033156247</v>
      </c>
      <c r="I21" s="48">
        <f>VLOOKUP($A21,'Página15'!$A$1:$O$27,COLUMN(),TRUE)</f>
        <v>0.1517024222</v>
      </c>
      <c r="J21" s="48">
        <f>VLOOKUP($A21,'Página15'!$A$1:$O$27,COLUMN(),TRUE)</f>
        <v>1.033153348</v>
      </c>
      <c r="K21" s="48">
        <f>VLOOKUP($A21,'Página15'!$A$1:$O$27,COLUMN(),TRUE)</f>
        <v>0.1242613697</v>
      </c>
      <c r="L21" s="48">
        <f>VLOOKUP($A21,'Página15'!$A$1:$O$27,COLUMN(),TRUE)</f>
        <v>1.031403388</v>
      </c>
      <c r="M21" s="48">
        <f>VLOOKUP($A21,'Página15'!$A$1:$O$27,COLUMN(),TRUE)</f>
        <v>0.16144256</v>
      </c>
      <c r="N21" s="48">
        <f>VLOOKUP($A21,'Página15'!$A$1:$O$27,COLUMN(),TRUE)</f>
        <v>1.031400743</v>
      </c>
      <c r="O21" s="48">
        <f>VLOOKUP($A21,'Página15'!$A$1:$O$27,COLUMN(),TRUE)</f>
        <v>0.1322396396</v>
      </c>
      <c r="P21" s="73">
        <f t="shared" si="5"/>
        <v>2017</v>
      </c>
      <c r="Q21" s="73">
        <f t="shared" si="6"/>
        <v>8</v>
      </c>
    </row>
    <row r="22">
      <c r="A22" s="34">
        <v>42979.0</v>
      </c>
      <c r="B22" s="48">
        <f t="shared" si="1"/>
        <v>1.169688461</v>
      </c>
      <c r="C22" s="48">
        <f t="shared" si="2"/>
        <v>1.144988608</v>
      </c>
      <c r="D22" s="48">
        <f>IF(MONTH($A22)=12,2.333,1)*VLOOKUP($A22,'Página15'!$A$1:$O$27,COLUMN(),TRUE)</f>
        <v>1</v>
      </c>
      <c r="E22" s="48">
        <f t="shared" si="3"/>
        <v>1.176701728</v>
      </c>
      <c r="F22" s="48">
        <f t="shared" si="4"/>
        <v>1.150416449</v>
      </c>
      <c r="G22" s="48">
        <f>IF(MONTH($A22)=12,2.333,1)*VLOOKUP($A22,'Página15'!$A$1:$O$27,COLUMN(),TRUE)</f>
        <v>1</v>
      </c>
      <c r="H22" s="48">
        <f>VLOOKUP($A22,'Página15'!$A$1:$O$27,COLUMN(),TRUE)</f>
        <v>1.033156247</v>
      </c>
      <c r="I22" s="48">
        <f>VLOOKUP($A22,'Página15'!$A$1:$O$27,COLUMN(),TRUE)</f>
        <v>0.1517024222</v>
      </c>
      <c r="J22" s="48">
        <f>VLOOKUP($A22,'Página15'!$A$1:$O$27,COLUMN(),TRUE)</f>
        <v>1.033153348</v>
      </c>
      <c r="K22" s="48">
        <f>VLOOKUP($A22,'Página15'!$A$1:$O$27,COLUMN(),TRUE)</f>
        <v>0.1242613697</v>
      </c>
      <c r="L22" s="48">
        <f>VLOOKUP($A22,'Página15'!$A$1:$O$27,COLUMN(),TRUE)</f>
        <v>1.031403388</v>
      </c>
      <c r="M22" s="48">
        <f>VLOOKUP($A22,'Página15'!$A$1:$O$27,COLUMN(),TRUE)</f>
        <v>0.16144256</v>
      </c>
      <c r="N22" s="48">
        <f>VLOOKUP($A22,'Página15'!$A$1:$O$27,COLUMN(),TRUE)</f>
        <v>1.031400743</v>
      </c>
      <c r="O22" s="48">
        <f>VLOOKUP($A22,'Página15'!$A$1:$O$27,COLUMN(),TRUE)</f>
        <v>0.1322396396</v>
      </c>
      <c r="P22" s="73">
        <f t="shared" si="5"/>
        <v>2017</v>
      </c>
      <c r="Q22" s="73">
        <f t="shared" si="6"/>
        <v>9</v>
      </c>
    </row>
    <row r="23">
      <c r="A23" s="34">
        <v>43009.0</v>
      </c>
      <c r="B23" s="48">
        <f t="shared" si="1"/>
        <v>1.169688461</v>
      </c>
      <c r="C23" s="48">
        <f t="shared" si="2"/>
        <v>1.144988608</v>
      </c>
      <c r="D23" s="48">
        <f>IF(MONTH($A23)=12,2.333,1)*VLOOKUP($A23,'Página15'!$A$1:$O$27,COLUMN(),TRUE)</f>
        <v>1</v>
      </c>
      <c r="E23" s="48">
        <f t="shared" si="3"/>
        <v>1.176701728</v>
      </c>
      <c r="F23" s="48">
        <f t="shared" si="4"/>
        <v>1.150416449</v>
      </c>
      <c r="G23" s="48">
        <f>IF(MONTH($A23)=12,2.333,1)*VLOOKUP($A23,'Página15'!$A$1:$O$27,COLUMN(),TRUE)</f>
        <v>1</v>
      </c>
      <c r="H23" s="48">
        <f>VLOOKUP($A23,'Página15'!$A$1:$O$27,COLUMN(),TRUE)</f>
        <v>1.033156247</v>
      </c>
      <c r="I23" s="48">
        <f>VLOOKUP($A23,'Página15'!$A$1:$O$27,COLUMN(),TRUE)</f>
        <v>0.1517024222</v>
      </c>
      <c r="J23" s="48">
        <f>VLOOKUP($A23,'Página15'!$A$1:$O$27,COLUMN(),TRUE)</f>
        <v>1.033153348</v>
      </c>
      <c r="K23" s="48">
        <f>VLOOKUP($A23,'Página15'!$A$1:$O$27,COLUMN(),TRUE)</f>
        <v>0.1242613697</v>
      </c>
      <c r="L23" s="48">
        <f>VLOOKUP($A23,'Página15'!$A$1:$O$27,COLUMN(),TRUE)</f>
        <v>1.031403388</v>
      </c>
      <c r="M23" s="48">
        <f>VLOOKUP($A23,'Página15'!$A$1:$O$27,COLUMN(),TRUE)</f>
        <v>0.16144256</v>
      </c>
      <c r="N23" s="48">
        <f>VLOOKUP($A23,'Página15'!$A$1:$O$27,COLUMN(),TRUE)</f>
        <v>1.031400743</v>
      </c>
      <c r="O23" s="48">
        <f>VLOOKUP($A23,'Página15'!$A$1:$O$27,COLUMN(),TRUE)</f>
        <v>0.1322396396</v>
      </c>
      <c r="P23" s="73">
        <f t="shared" si="5"/>
        <v>2017</v>
      </c>
      <c r="Q23" s="73">
        <f t="shared" si="6"/>
        <v>10</v>
      </c>
    </row>
    <row r="24">
      <c r="A24" s="34">
        <v>43040.0</v>
      </c>
      <c r="B24" s="48">
        <f t="shared" si="1"/>
        <v>1.169688461</v>
      </c>
      <c r="C24" s="48">
        <f t="shared" si="2"/>
        <v>1.144988608</v>
      </c>
      <c r="D24" s="48">
        <f>IF(MONTH($A24)=12,2.333,1)*VLOOKUP($A24,'Página15'!$A$1:$O$27,COLUMN(),TRUE)</f>
        <v>1</v>
      </c>
      <c r="E24" s="48">
        <f t="shared" si="3"/>
        <v>1.176701728</v>
      </c>
      <c r="F24" s="48">
        <f t="shared" si="4"/>
        <v>1.150416449</v>
      </c>
      <c r="G24" s="48">
        <f>IF(MONTH($A24)=12,2.333,1)*VLOOKUP($A24,'Página15'!$A$1:$O$27,COLUMN(),TRUE)</f>
        <v>1</v>
      </c>
      <c r="H24" s="48">
        <f>VLOOKUP($A24,'Página15'!$A$1:$O$27,COLUMN(),TRUE)</f>
        <v>1.033156247</v>
      </c>
      <c r="I24" s="48">
        <f>VLOOKUP($A24,'Página15'!$A$1:$O$27,COLUMN(),TRUE)</f>
        <v>0.1517024222</v>
      </c>
      <c r="J24" s="48">
        <f>VLOOKUP($A24,'Página15'!$A$1:$O$27,COLUMN(),TRUE)</f>
        <v>1.033153348</v>
      </c>
      <c r="K24" s="48">
        <f>VLOOKUP($A24,'Página15'!$A$1:$O$27,COLUMN(),TRUE)</f>
        <v>0.1242613697</v>
      </c>
      <c r="L24" s="48">
        <f>VLOOKUP($A24,'Página15'!$A$1:$O$27,COLUMN(),TRUE)</f>
        <v>1.031403388</v>
      </c>
      <c r="M24" s="48">
        <f>VLOOKUP($A24,'Página15'!$A$1:$O$27,COLUMN(),TRUE)</f>
        <v>0.16144256</v>
      </c>
      <c r="N24" s="48">
        <f>VLOOKUP($A24,'Página15'!$A$1:$O$27,COLUMN(),TRUE)</f>
        <v>1.031400743</v>
      </c>
      <c r="O24" s="48">
        <f>VLOOKUP($A24,'Página15'!$A$1:$O$27,COLUMN(),TRUE)</f>
        <v>0.1322396396</v>
      </c>
      <c r="P24" s="73">
        <f t="shared" si="5"/>
        <v>2017</v>
      </c>
      <c r="Q24" s="73">
        <f t="shared" si="6"/>
        <v>11</v>
      </c>
    </row>
    <row r="25">
      <c r="A25" s="34">
        <v>43070.0</v>
      </c>
      <c r="B25" s="48">
        <f t="shared" si="1"/>
        <v>2.72888318</v>
      </c>
      <c r="C25" s="48">
        <f t="shared" si="2"/>
        <v>2.671258423</v>
      </c>
      <c r="D25" s="48">
        <f>IF(MONTH($A25)=12,2.333,1)*VLOOKUP($A25,'Página15'!$A$1:$O$27,COLUMN(),TRUE)</f>
        <v>2.333</v>
      </c>
      <c r="E25" s="48">
        <f t="shared" si="3"/>
        <v>2.745245132</v>
      </c>
      <c r="F25" s="48">
        <f t="shared" si="4"/>
        <v>2.683921575</v>
      </c>
      <c r="G25" s="48">
        <f>IF(MONTH($A25)=12,2.333,1)*VLOOKUP($A25,'Página15'!$A$1:$O$27,COLUMN(),TRUE)</f>
        <v>2.333</v>
      </c>
      <c r="H25" s="48">
        <f>VLOOKUP($A25,'Página15'!$A$1:$O$27,COLUMN(),TRUE)</f>
        <v>1.033156247</v>
      </c>
      <c r="I25" s="48">
        <f>VLOOKUP($A25,'Página15'!$A$1:$O$27,COLUMN(),TRUE)</f>
        <v>0.1517024222</v>
      </c>
      <c r="J25" s="48">
        <f>VLOOKUP($A25,'Página15'!$A$1:$O$27,COLUMN(),TRUE)</f>
        <v>1.033153348</v>
      </c>
      <c r="K25" s="48">
        <f>VLOOKUP($A25,'Página15'!$A$1:$O$27,COLUMN(),TRUE)</f>
        <v>0.1242613697</v>
      </c>
      <c r="L25" s="48">
        <f>VLOOKUP($A25,'Página15'!$A$1:$O$27,COLUMN(),TRUE)</f>
        <v>1.031403388</v>
      </c>
      <c r="M25" s="48">
        <f>VLOOKUP($A25,'Página15'!$A$1:$O$27,COLUMN(),TRUE)</f>
        <v>0.16144256</v>
      </c>
      <c r="N25" s="48">
        <f>VLOOKUP($A25,'Página15'!$A$1:$O$27,COLUMN(),TRUE)</f>
        <v>1.031400743</v>
      </c>
      <c r="O25" s="48">
        <f>VLOOKUP($A25,'Página15'!$A$1:$O$27,COLUMN(),TRUE)</f>
        <v>0.1322396396</v>
      </c>
      <c r="P25" s="73">
        <f t="shared" si="5"/>
        <v>2017</v>
      </c>
      <c r="Q25" s="73">
        <f t="shared" si="6"/>
        <v>12</v>
      </c>
    </row>
    <row r="26">
      <c r="A26" s="34">
        <v>43101.0</v>
      </c>
      <c r="B26" s="48">
        <f t="shared" si="1"/>
        <v>1.240395254</v>
      </c>
      <c r="C26" s="48">
        <f t="shared" si="2"/>
        <v>1.119719854</v>
      </c>
      <c r="D26" s="48">
        <f>IF(MONTH($A26)=12,2.333,1)*VLOOKUP($A26,'Página15'!$A$1:$O$27,COLUMN(),TRUE)</f>
        <v>1</v>
      </c>
      <c r="E26" s="48">
        <f t="shared" si="3"/>
        <v>1.254930829</v>
      </c>
      <c r="F26" s="48">
        <f t="shared" si="4"/>
        <v>1.12608334</v>
      </c>
      <c r="G26" s="48">
        <f>IF(MONTH($A26)=12,2.333,1)*VLOOKUP($A26,'Página15'!$A$1:$O$27,COLUMN(),TRUE)</f>
        <v>1</v>
      </c>
      <c r="H26" s="48">
        <f>VLOOKUP($A26,'Página15'!$A$1:$O$27,COLUMN(),TRUE)</f>
        <v>1.014850299</v>
      </c>
      <c r="I26" s="48">
        <f>VLOOKUP($A26,'Página15'!$A$1:$O$27,COLUMN(),TRUE)</f>
        <v>0.250605443</v>
      </c>
      <c r="J26" s="48">
        <f>VLOOKUP($A26,'Página15'!$A$1:$O$27,COLUMN(),TRUE)</f>
        <v>1.01484758</v>
      </c>
      <c r="K26" s="48">
        <f>VLOOKUP($A26,'Página15'!$A$1:$O$27,COLUMN(),TRUE)</f>
        <v>0.1165247201</v>
      </c>
      <c r="L26" s="48">
        <f>VLOOKUP($A26,'Página15'!$A$1:$O$27,COLUMN(),TRUE)</f>
        <v>1.014112061</v>
      </c>
      <c r="M26" s="48">
        <f>VLOOKUP($A26,'Página15'!$A$1:$O$27,COLUMN(),TRUE)</f>
        <v>0.267576342</v>
      </c>
      <c r="N26" s="48">
        <f>VLOOKUP($A26,'Página15'!$A$1:$O$27,COLUMN(),TRUE)</f>
        <v>1.014109158</v>
      </c>
      <c r="O26" s="48">
        <f>VLOOKUP($A26,'Página15'!$A$1:$O$27,COLUMN(),TRUE)</f>
        <v>0.1244157269</v>
      </c>
      <c r="P26" s="73">
        <f t="shared" si="5"/>
        <v>2018</v>
      </c>
      <c r="Q26" s="73">
        <f t="shared" si="6"/>
        <v>1</v>
      </c>
    </row>
    <row r="27">
      <c r="A27" s="34">
        <v>43132.0</v>
      </c>
      <c r="B27" s="48">
        <f t="shared" si="1"/>
        <v>1.240395254</v>
      </c>
      <c r="C27" s="48">
        <f t="shared" si="2"/>
        <v>1.119719854</v>
      </c>
      <c r="D27" s="48">
        <f>IF(MONTH($A27)=12,2.333,1)*VLOOKUP($A27,'Página15'!$A$1:$O$27,COLUMN(),TRUE)</f>
        <v>1</v>
      </c>
      <c r="E27" s="48">
        <f t="shared" si="3"/>
        <v>1.254930829</v>
      </c>
      <c r="F27" s="48">
        <f t="shared" si="4"/>
        <v>1.12608334</v>
      </c>
      <c r="G27" s="48">
        <f>IF(MONTH($A27)=12,2.333,1)*VLOOKUP($A27,'Página15'!$A$1:$O$27,COLUMN(),TRUE)</f>
        <v>1</v>
      </c>
      <c r="H27" s="48">
        <f>VLOOKUP($A27,'Página15'!$A$1:$O$27,COLUMN(),TRUE)</f>
        <v>1.014850299</v>
      </c>
      <c r="I27" s="48">
        <f>VLOOKUP($A27,'Página15'!$A$1:$O$27,COLUMN(),TRUE)</f>
        <v>0.250605443</v>
      </c>
      <c r="J27" s="48">
        <f>VLOOKUP($A27,'Página15'!$A$1:$O$27,COLUMN(),TRUE)</f>
        <v>1.01484758</v>
      </c>
      <c r="K27" s="48">
        <f>VLOOKUP($A27,'Página15'!$A$1:$O$27,COLUMN(),TRUE)</f>
        <v>0.1165247201</v>
      </c>
      <c r="L27" s="48">
        <f>VLOOKUP($A27,'Página15'!$A$1:$O$27,COLUMN(),TRUE)</f>
        <v>1.014112061</v>
      </c>
      <c r="M27" s="48">
        <f>VLOOKUP($A27,'Página15'!$A$1:$O$27,COLUMN(),TRUE)</f>
        <v>0.267576342</v>
      </c>
      <c r="N27" s="48">
        <f>VLOOKUP($A27,'Página15'!$A$1:$O$27,COLUMN(),TRUE)</f>
        <v>1.014109158</v>
      </c>
      <c r="O27" s="48">
        <f>VLOOKUP($A27,'Página15'!$A$1:$O$27,COLUMN(),TRUE)</f>
        <v>0.1244157269</v>
      </c>
      <c r="P27" s="73">
        <f t="shared" si="5"/>
        <v>2018</v>
      </c>
      <c r="Q27" s="73">
        <f t="shared" si="6"/>
        <v>2</v>
      </c>
    </row>
    <row r="28">
      <c r="A28" s="34">
        <v>43160.0</v>
      </c>
      <c r="B28" s="48">
        <f t="shared" si="1"/>
        <v>1.240395254</v>
      </c>
      <c r="C28" s="48">
        <f t="shared" si="2"/>
        <v>1.119719854</v>
      </c>
      <c r="D28" s="48">
        <f>IF(MONTH($A28)=12,2.333,1)*VLOOKUP($A28,'Página15'!$A$1:$O$27,COLUMN(),TRUE)</f>
        <v>1</v>
      </c>
      <c r="E28" s="48">
        <f t="shared" si="3"/>
        <v>1.254930829</v>
      </c>
      <c r="F28" s="48">
        <f t="shared" si="4"/>
        <v>1.12608334</v>
      </c>
      <c r="G28" s="48">
        <f>IF(MONTH($A28)=12,2.333,1)*VLOOKUP($A28,'Página15'!$A$1:$O$27,COLUMN(),TRUE)</f>
        <v>1</v>
      </c>
      <c r="H28" s="48">
        <f>VLOOKUP($A28,'Página15'!$A$1:$O$27,COLUMN(),TRUE)</f>
        <v>1.014850299</v>
      </c>
      <c r="I28" s="48">
        <f>VLOOKUP($A28,'Página15'!$A$1:$O$27,COLUMN(),TRUE)</f>
        <v>0.250605443</v>
      </c>
      <c r="J28" s="48">
        <f>VLOOKUP($A28,'Página15'!$A$1:$O$27,COLUMN(),TRUE)</f>
        <v>1.01484758</v>
      </c>
      <c r="K28" s="48">
        <f>VLOOKUP($A28,'Página15'!$A$1:$O$27,COLUMN(),TRUE)</f>
        <v>0.1165247201</v>
      </c>
      <c r="L28" s="48">
        <f>VLOOKUP($A28,'Página15'!$A$1:$O$27,COLUMN(),TRUE)</f>
        <v>1.014112061</v>
      </c>
      <c r="M28" s="48">
        <f>VLOOKUP($A28,'Página15'!$A$1:$O$27,COLUMN(),TRUE)</f>
        <v>0.267576342</v>
      </c>
      <c r="N28" s="48">
        <f>VLOOKUP($A28,'Página15'!$A$1:$O$27,COLUMN(),TRUE)</f>
        <v>1.014109158</v>
      </c>
      <c r="O28" s="48">
        <f>VLOOKUP($A28,'Página15'!$A$1:$O$27,COLUMN(),TRUE)</f>
        <v>0.1244157269</v>
      </c>
      <c r="P28" s="73">
        <f t="shared" si="5"/>
        <v>2018</v>
      </c>
      <c r="Q28" s="73">
        <f t="shared" si="6"/>
        <v>3</v>
      </c>
    </row>
    <row r="29">
      <c r="A29" s="34">
        <v>43191.0</v>
      </c>
      <c r="B29" s="48">
        <f t="shared" si="1"/>
        <v>1.240395254</v>
      </c>
      <c r="C29" s="48">
        <f t="shared" si="2"/>
        <v>1.119719854</v>
      </c>
      <c r="D29" s="48">
        <f>IF(MONTH($A29)=12,2.333,1)*VLOOKUP($A29,'Página15'!$A$1:$O$27,COLUMN(),TRUE)</f>
        <v>1</v>
      </c>
      <c r="E29" s="48">
        <f t="shared" si="3"/>
        <v>1.254930829</v>
      </c>
      <c r="F29" s="48">
        <f t="shared" si="4"/>
        <v>1.12608334</v>
      </c>
      <c r="G29" s="48">
        <f>IF(MONTH($A29)=12,2.333,1)*VLOOKUP($A29,'Página15'!$A$1:$O$27,COLUMN(),TRUE)</f>
        <v>1</v>
      </c>
      <c r="H29" s="48">
        <f>VLOOKUP($A29,'Página15'!$A$1:$O$27,COLUMN(),TRUE)</f>
        <v>1.014850299</v>
      </c>
      <c r="I29" s="48">
        <f>VLOOKUP($A29,'Página15'!$A$1:$O$27,COLUMN(),TRUE)</f>
        <v>0.250605443</v>
      </c>
      <c r="J29" s="48">
        <f>VLOOKUP($A29,'Página15'!$A$1:$O$27,COLUMN(),TRUE)</f>
        <v>1.01484758</v>
      </c>
      <c r="K29" s="48">
        <f>VLOOKUP($A29,'Página15'!$A$1:$O$27,COLUMN(),TRUE)</f>
        <v>0.1165247201</v>
      </c>
      <c r="L29" s="48">
        <f>VLOOKUP($A29,'Página15'!$A$1:$O$27,COLUMN(),TRUE)</f>
        <v>1.014112061</v>
      </c>
      <c r="M29" s="48">
        <f>VLOOKUP($A29,'Página15'!$A$1:$O$27,COLUMN(),TRUE)</f>
        <v>0.267576342</v>
      </c>
      <c r="N29" s="48">
        <f>VLOOKUP($A29,'Página15'!$A$1:$O$27,COLUMN(),TRUE)</f>
        <v>1.014109158</v>
      </c>
      <c r="O29" s="48">
        <f>VLOOKUP($A29,'Página15'!$A$1:$O$27,COLUMN(),TRUE)</f>
        <v>0.1244157269</v>
      </c>
      <c r="P29" s="73">
        <f t="shared" si="5"/>
        <v>2018</v>
      </c>
      <c r="Q29" s="73">
        <f t="shared" si="6"/>
        <v>4</v>
      </c>
    </row>
    <row r="30">
      <c r="A30" s="34">
        <v>43221.0</v>
      </c>
      <c r="B30" s="48">
        <f t="shared" si="1"/>
        <v>1.240395254</v>
      </c>
      <c r="C30" s="48">
        <f t="shared" si="2"/>
        <v>1.119719854</v>
      </c>
      <c r="D30" s="48">
        <f>IF(MONTH($A30)=12,2.333,1)*VLOOKUP($A30,'Página15'!$A$1:$O$27,COLUMN(),TRUE)</f>
        <v>1</v>
      </c>
      <c r="E30" s="48">
        <f t="shared" si="3"/>
        <v>1.254930829</v>
      </c>
      <c r="F30" s="48">
        <f t="shared" si="4"/>
        <v>1.12608334</v>
      </c>
      <c r="G30" s="48">
        <f>IF(MONTH($A30)=12,2.333,1)*VLOOKUP($A30,'Página15'!$A$1:$O$27,COLUMN(),TRUE)</f>
        <v>1</v>
      </c>
      <c r="H30" s="48">
        <f>VLOOKUP($A30,'Página15'!$A$1:$O$27,COLUMN(),TRUE)</f>
        <v>1.014850299</v>
      </c>
      <c r="I30" s="48">
        <f>VLOOKUP($A30,'Página15'!$A$1:$O$27,COLUMN(),TRUE)</f>
        <v>0.250605443</v>
      </c>
      <c r="J30" s="48">
        <f>VLOOKUP($A30,'Página15'!$A$1:$O$27,COLUMN(),TRUE)</f>
        <v>1.01484758</v>
      </c>
      <c r="K30" s="48">
        <f>VLOOKUP($A30,'Página15'!$A$1:$O$27,COLUMN(),TRUE)</f>
        <v>0.1165247201</v>
      </c>
      <c r="L30" s="48">
        <f>VLOOKUP($A30,'Página15'!$A$1:$O$27,COLUMN(),TRUE)</f>
        <v>1.014112061</v>
      </c>
      <c r="M30" s="48">
        <f>VLOOKUP($A30,'Página15'!$A$1:$O$27,COLUMN(),TRUE)</f>
        <v>0.267576342</v>
      </c>
      <c r="N30" s="48">
        <f>VLOOKUP($A30,'Página15'!$A$1:$O$27,COLUMN(),TRUE)</f>
        <v>1.014109158</v>
      </c>
      <c r="O30" s="48">
        <f>VLOOKUP($A30,'Página15'!$A$1:$O$27,COLUMN(),TRUE)</f>
        <v>0.1244157269</v>
      </c>
      <c r="P30" s="73">
        <f t="shared" si="5"/>
        <v>2018</v>
      </c>
      <c r="Q30" s="73">
        <f t="shared" si="6"/>
        <v>5</v>
      </c>
    </row>
    <row r="31">
      <c r="A31" s="34">
        <v>43252.0</v>
      </c>
      <c r="B31" s="48">
        <f t="shared" si="1"/>
        <v>1.240395254</v>
      </c>
      <c r="C31" s="48">
        <f t="shared" si="2"/>
        <v>1.119719854</v>
      </c>
      <c r="D31" s="48">
        <f>IF(MONTH($A31)=12,2.333,1)*VLOOKUP($A31,'Página15'!$A$1:$O$27,COLUMN(),TRUE)</f>
        <v>1</v>
      </c>
      <c r="E31" s="48">
        <f t="shared" si="3"/>
        <v>1.254930829</v>
      </c>
      <c r="F31" s="48">
        <f t="shared" si="4"/>
        <v>1.12608334</v>
      </c>
      <c r="G31" s="48">
        <f>IF(MONTH($A31)=12,2.333,1)*VLOOKUP($A31,'Página15'!$A$1:$O$27,COLUMN(),TRUE)</f>
        <v>1</v>
      </c>
      <c r="H31" s="48">
        <f>VLOOKUP($A31,'Página15'!$A$1:$O$27,COLUMN(),TRUE)</f>
        <v>1.014850299</v>
      </c>
      <c r="I31" s="48">
        <f>VLOOKUP($A31,'Página15'!$A$1:$O$27,COLUMN(),TRUE)</f>
        <v>0.250605443</v>
      </c>
      <c r="J31" s="48">
        <f>VLOOKUP($A31,'Página15'!$A$1:$O$27,COLUMN(),TRUE)</f>
        <v>1.01484758</v>
      </c>
      <c r="K31" s="48">
        <f>VLOOKUP($A31,'Página15'!$A$1:$O$27,COLUMN(),TRUE)</f>
        <v>0.1165247201</v>
      </c>
      <c r="L31" s="48">
        <f>VLOOKUP($A31,'Página15'!$A$1:$O$27,COLUMN(),TRUE)</f>
        <v>1.014112061</v>
      </c>
      <c r="M31" s="48">
        <f>VLOOKUP($A31,'Página15'!$A$1:$O$27,COLUMN(),TRUE)</f>
        <v>0.267576342</v>
      </c>
      <c r="N31" s="48">
        <f>VLOOKUP($A31,'Página15'!$A$1:$O$27,COLUMN(),TRUE)</f>
        <v>1.014109158</v>
      </c>
      <c r="O31" s="48">
        <f>VLOOKUP($A31,'Página15'!$A$1:$O$27,COLUMN(),TRUE)</f>
        <v>0.1244157269</v>
      </c>
      <c r="P31" s="73">
        <f t="shared" si="5"/>
        <v>2018</v>
      </c>
      <c r="Q31" s="73">
        <f t="shared" si="6"/>
        <v>6</v>
      </c>
    </row>
    <row r="32">
      <c r="A32" s="34">
        <v>43282.0</v>
      </c>
      <c r="B32" s="48">
        <f t="shared" si="1"/>
        <v>1.240395254</v>
      </c>
      <c r="C32" s="48">
        <f t="shared" si="2"/>
        <v>1.119719854</v>
      </c>
      <c r="D32" s="48">
        <f>IF(MONTH($A32)=12,2.333,1)*VLOOKUP($A32,'Página15'!$A$1:$O$27,COLUMN(),TRUE)</f>
        <v>1</v>
      </c>
      <c r="E32" s="48">
        <f t="shared" si="3"/>
        <v>1.254930829</v>
      </c>
      <c r="F32" s="48">
        <f t="shared" si="4"/>
        <v>1.12608334</v>
      </c>
      <c r="G32" s="48">
        <f>IF(MONTH($A32)=12,2.333,1)*VLOOKUP($A32,'Página15'!$A$1:$O$27,COLUMN(),TRUE)</f>
        <v>1</v>
      </c>
      <c r="H32" s="48">
        <f>VLOOKUP($A32,'Página15'!$A$1:$O$27,COLUMN(),TRUE)</f>
        <v>1.014850299</v>
      </c>
      <c r="I32" s="48">
        <f>VLOOKUP($A32,'Página15'!$A$1:$O$27,COLUMN(),TRUE)</f>
        <v>0.250605443</v>
      </c>
      <c r="J32" s="48">
        <f>VLOOKUP($A32,'Página15'!$A$1:$O$27,COLUMN(),TRUE)</f>
        <v>1.01484758</v>
      </c>
      <c r="K32" s="48">
        <f>VLOOKUP($A32,'Página15'!$A$1:$O$27,COLUMN(),TRUE)</f>
        <v>0.1165247201</v>
      </c>
      <c r="L32" s="48">
        <f>VLOOKUP($A32,'Página15'!$A$1:$O$27,COLUMN(),TRUE)</f>
        <v>1.014112061</v>
      </c>
      <c r="M32" s="48">
        <f>VLOOKUP($A32,'Página15'!$A$1:$O$27,COLUMN(),TRUE)</f>
        <v>0.267576342</v>
      </c>
      <c r="N32" s="48">
        <f>VLOOKUP($A32,'Página15'!$A$1:$O$27,COLUMN(),TRUE)</f>
        <v>1.014109158</v>
      </c>
      <c r="O32" s="48">
        <f>VLOOKUP($A32,'Página15'!$A$1:$O$27,COLUMN(),TRUE)</f>
        <v>0.1244157269</v>
      </c>
      <c r="P32" s="73">
        <f t="shared" si="5"/>
        <v>2018</v>
      </c>
      <c r="Q32" s="73">
        <f t="shared" si="6"/>
        <v>7</v>
      </c>
    </row>
    <row r="33">
      <c r="A33" s="34">
        <v>43313.0</v>
      </c>
      <c r="B33" s="48">
        <f t="shared" si="1"/>
        <v>1.240395254</v>
      </c>
      <c r="C33" s="48">
        <f t="shared" si="2"/>
        <v>1.119719854</v>
      </c>
      <c r="D33" s="48">
        <f>IF(MONTH($A33)=12,2.333,1)*VLOOKUP($A33,'Página15'!$A$1:$O$27,COLUMN(),TRUE)</f>
        <v>1</v>
      </c>
      <c r="E33" s="48">
        <f t="shared" si="3"/>
        <v>1.254930829</v>
      </c>
      <c r="F33" s="48">
        <f t="shared" si="4"/>
        <v>1.12608334</v>
      </c>
      <c r="G33" s="48">
        <f>IF(MONTH($A33)=12,2.333,1)*VLOOKUP($A33,'Página15'!$A$1:$O$27,COLUMN(),TRUE)</f>
        <v>1</v>
      </c>
      <c r="H33" s="48">
        <f>VLOOKUP($A33,'Página15'!$A$1:$O$27,COLUMN(),TRUE)</f>
        <v>1.014850299</v>
      </c>
      <c r="I33" s="48">
        <f>VLOOKUP($A33,'Página15'!$A$1:$O$27,COLUMN(),TRUE)</f>
        <v>0.250605443</v>
      </c>
      <c r="J33" s="48">
        <f>VLOOKUP($A33,'Página15'!$A$1:$O$27,COLUMN(),TRUE)</f>
        <v>1.01484758</v>
      </c>
      <c r="K33" s="48">
        <f>VLOOKUP($A33,'Página15'!$A$1:$O$27,COLUMN(),TRUE)</f>
        <v>0.1165247201</v>
      </c>
      <c r="L33" s="48">
        <f>VLOOKUP($A33,'Página15'!$A$1:$O$27,COLUMN(),TRUE)</f>
        <v>1.014112061</v>
      </c>
      <c r="M33" s="48">
        <f>VLOOKUP($A33,'Página15'!$A$1:$O$27,COLUMN(),TRUE)</f>
        <v>0.267576342</v>
      </c>
      <c r="N33" s="48">
        <f>VLOOKUP($A33,'Página15'!$A$1:$O$27,COLUMN(),TRUE)</f>
        <v>1.014109158</v>
      </c>
      <c r="O33" s="48">
        <f>VLOOKUP($A33,'Página15'!$A$1:$O$27,COLUMN(),TRUE)</f>
        <v>0.1244157269</v>
      </c>
      <c r="P33" s="73">
        <f t="shared" si="5"/>
        <v>2018</v>
      </c>
      <c r="Q33" s="73">
        <f t="shared" si="6"/>
        <v>8</v>
      </c>
    </row>
    <row r="34">
      <c r="A34" s="34">
        <v>43344.0</v>
      </c>
      <c r="B34" s="48">
        <f t="shared" si="1"/>
        <v>1.240395254</v>
      </c>
      <c r="C34" s="48">
        <f t="shared" si="2"/>
        <v>1.119719854</v>
      </c>
      <c r="D34" s="48">
        <f>IF(MONTH($A34)=12,2.333,1)*VLOOKUP($A34,'Página15'!$A$1:$O$27,COLUMN(),TRUE)</f>
        <v>1</v>
      </c>
      <c r="E34" s="48">
        <f t="shared" si="3"/>
        <v>1.254930829</v>
      </c>
      <c r="F34" s="48">
        <f t="shared" si="4"/>
        <v>1.12608334</v>
      </c>
      <c r="G34" s="48">
        <f>IF(MONTH($A34)=12,2.333,1)*VLOOKUP($A34,'Página15'!$A$1:$O$27,COLUMN(),TRUE)</f>
        <v>1</v>
      </c>
      <c r="H34" s="48">
        <f>VLOOKUP($A34,'Página15'!$A$1:$O$27,COLUMN(),TRUE)</f>
        <v>1.014850299</v>
      </c>
      <c r="I34" s="48">
        <f>VLOOKUP($A34,'Página15'!$A$1:$O$27,COLUMN(),TRUE)</f>
        <v>0.250605443</v>
      </c>
      <c r="J34" s="48">
        <f>VLOOKUP($A34,'Página15'!$A$1:$O$27,COLUMN(),TRUE)</f>
        <v>1.01484758</v>
      </c>
      <c r="K34" s="48">
        <f>VLOOKUP($A34,'Página15'!$A$1:$O$27,COLUMN(),TRUE)</f>
        <v>0.1165247201</v>
      </c>
      <c r="L34" s="48">
        <f>VLOOKUP($A34,'Página15'!$A$1:$O$27,COLUMN(),TRUE)</f>
        <v>1.014112061</v>
      </c>
      <c r="M34" s="48">
        <f>VLOOKUP($A34,'Página15'!$A$1:$O$27,COLUMN(),TRUE)</f>
        <v>0.267576342</v>
      </c>
      <c r="N34" s="48">
        <f>VLOOKUP($A34,'Página15'!$A$1:$O$27,COLUMN(),TRUE)</f>
        <v>1.014109158</v>
      </c>
      <c r="O34" s="48">
        <f>VLOOKUP($A34,'Página15'!$A$1:$O$27,COLUMN(),TRUE)</f>
        <v>0.1244157269</v>
      </c>
      <c r="P34" s="73">
        <f t="shared" si="5"/>
        <v>2018</v>
      </c>
      <c r="Q34" s="73">
        <f t="shared" si="6"/>
        <v>9</v>
      </c>
    </row>
    <row r="35">
      <c r="A35" s="34">
        <v>43374.0</v>
      </c>
      <c r="B35" s="48">
        <f t="shared" si="1"/>
        <v>1.240395254</v>
      </c>
      <c r="C35" s="48">
        <f t="shared" si="2"/>
        <v>1.119719854</v>
      </c>
      <c r="D35" s="48">
        <f>IF(MONTH($A35)=12,2.333,1)*VLOOKUP($A35,'Página15'!$A$1:$O$27,COLUMN(),TRUE)</f>
        <v>1</v>
      </c>
      <c r="E35" s="48">
        <f t="shared" si="3"/>
        <v>1.254930829</v>
      </c>
      <c r="F35" s="48">
        <f t="shared" si="4"/>
        <v>1.12608334</v>
      </c>
      <c r="G35" s="48">
        <f>IF(MONTH($A35)=12,2.333,1)*VLOOKUP($A35,'Página15'!$A$1:$O$27,COLUMN(),TRUE)</f>
        <v>1</v>
      </c>
      <c r="H35" s="48">
        <f>VLOOKUP($A35,'Página15'!$A$1:$O$27,COLUMN(),TRUE)</f>
        <v>1.014850299</v>
      </c>
      <c r="I35" s="48">
        <f>VLOOKUP($A35,'Página15'!$A$1:$O$27,COLUMN(),TRUE)</f>
        <v>0.250605443</v>
      </c>
      <c r="J35" s="48">
        <f>VLOOKUP($A35,'Página15'!$A$1:$O$27,COLUMN(),TRUE)</f>
        <v>1.01484758</v>
      </c>
      <c r="K35" s="48">
        <f>VLOOKUP($A35,'Página15'!$A$1:$O$27,COLUMN(),TRUE)</f>
        <v>0.1165247201</v>
      </c>
      <c r="L35" s="48">
        <f>VLOOKUP($A35,'Página15'!$A$1:$O$27,COLUMN(),TRUE)</f>
        <v>1.014112061</v>
      </c>
      <c r="M35" s="48">
        <f>VLOOKUP($A35,'Página15'!$A$1:$O$27,COLUMN(),TRUE)</f>
        <v>0.267576342</v>
      </c>
      <c r="N35" s="48">
        <f>VLOOKUP($A35,'Página15'!$A$1:$O$27,COLUMN(),TRUE)</f>
        <v>1.014109158</v>
      </c>
      <c r="O35" s="48">
        <f>VLOOKUP($A35,'Página15'!$A$1:$O$27,COLUMN(),TRUE)</f>
        <v>0.1244157269</v>
      </c>
      <c r="P35" s="73">
        <f t="shared" si="5"/>
        <v>2018</v>
      </c>
      <c r="Q35" s="73">
        <f t="shared" si="6"/>
        <v>10</v>
      </c>
    </row>
    <row r="36">
      <c r="A36" s="34">
        <v>43405.0</v>
      </c>
      <c r="B36" s="48">
        <f t="shared" si="1"/>
        <v>1.240395254</v>
      </c>
      <c r="C36" s="48">
        <f t="shared" si="2"/>
        <v>1.119719854</v>
      </c>
      <c r="D36" s="48">
        <f>IF(MONTH($A36)=12,2.333,1)*VLOOKUP($A36,'Página15'!$A$1:$O$27,COLUMN(),TRUE)</f>
        <v>1</v>
      </c>
      <c r="E36" s="48">
        <f t="shared" si="3"/>
        <v>1.254930829</v>
      </c>
      <c r="F36" s="48">
        <f t="shared" si="4"/>
        <v>1.12608334</v>
      </c>
      <c r="G36" s="48">
        <f>IF(MONTH($A36)=12,2.333,1)*VLOOKUP($A36,'Página15'!$A$1:$O$27,COLUMN(),TRUE)</f>
        <v>1</v>
      </c>
      <c r="H36" s="48">
        <f>VLOOKUP($A36,'Página15'!$A$1:$O$27,COLUMN(),TRUE)</f>
        <v>1.014850299</v>
      </c>
      <c r="I36" s="48">
        <f>VLOOKUP($A36,'Página15'!$A$1:$O$27,COLUMN(),TRUE)</f>
        <v>0.250605443</v>
      </c>
      <c r="J36" s="48">
        <f>VLOOKUP($A36,'Página15'!$A$1:$O$27,COLUMN(),TRUE)</f>
        <v>1.01484758</v>
      </c>
      <c r="K36" s="48">
        <f>VLOOKUP($A36,'Página15'!$A$1:$O$27,COLUMN(),TRUE)</f>
        <v>0.1165247201</v>
      </c>
      <c r="L36" s="48">
        <f>VLOOKUP($A36,'Página15'!$A$1:$O$27,COLUMN(),TRUE)</f>
        <v>1.014112061</v>
      </c>
      <c r="M36" s="48">
        <f>VLOOKUP($A36,'Página15'!$A$1:$O$27,COLUMN(),TRUE)</f>
        <v>0.267576342</v>
      </c>
      <c r="N36" s="48">
        <f>VLOOKUP($A36,'Página15'!$A$1:$O$27,COLUMN(),TRUE)</f>
        <v>1.014109158</v>
      </c>
      <c r="O36" s="48">
        <f>VLOOKUP($A36,'Página15'!$A$1:$O$27,COLUMN(),TRUE)</f>
        <v>0.1244157269</v>
      </c>
      <c r="P36" s="73">
        <f t="shared" si="5"/>
        <v>2018</v>
      </c>
      <c r="Q36" s="73">
        <f t="shared" si="6"/>
        <v>11</v>
      </c>
    </row>
    <row r="37">
      <c r="A37" s="34">
        <v>43435.0</v>
      </c>
      <c r="B37" s="48">
        <f t="shared" si="1"/>
        <v>2.941250439</v>
      </c>
      <c r="C37" s="48">
        <f t="shared" si="2"/>
        <v>2.61230642</v>
      </c>
      <c r="D37" s="48">
        <f>IF(MONTH($A37)=12,2.333,1)*VLOOKUP($A37,'Página15'!$A$1:$O$27,COLUMN(),TRUE)</f>
        <v>2.333</v>
      </c>
      <c r="E37" s="48">
        <f t="shared" si="3"/>
        <v>2.978372408</v>
      </c>
      <c r="F37" s="48">
        <f t="shared" si="4"/>
        <v>2.627152433</v>
      </c>
      <c r="G37" s="48">
        <f>IF(MONTH($A37)=12,2.333,1)*VLOOKUP($A37,'Página15'!$A$1:$O$27,COLUMN(),TRUE)</f>
        <v>2.333</v>
      </c>
      <c r="H37" s="48">
        <f>VLOOKUP($A37,'Página15'!$A$1:$O$27,COLUMN(),TRUE)</f>
        <v>1.014850299</v>
      </c>
      <c r="I37" s="48">
        <f>VLOOKUP($A37,'Página15'!$A$1:$O$27,COLUMN(),TRUE)</f>
        <v>0.2731840496</v>
      </c>
      <c r="J37" s="48">
        <f>VLOOKUP($A37,'Página15'!$A$1:$O$27,COLUMN(),TRUE)</f>
        <v>1.01484758</v>
      </c>
      <c r="K37" s="48">
        <f>VLOOKUP($A37,'Página15'!$A$1:$O$27,COLUMN(),TRUE)</f>
        <v>0.1165247201</v>
      </c>
      <c r="L37" s="48">
        <f>VLOOKUP($A37,'Página15'!$A$1:$O$27,COLUMN(),TRUE)</f>
        <v>1.014112061</v>
      </c>
      <c r="M37" s="48">
        <f>VLOOKUP($A37,'Página15'!$A$1:$O$27,COLUMN(),TRUE)</f>
        <v>0.2916839627</v>
      </c>
      <c r="N37" s="48">
        <f>VLOOKUP($A37,'Página15'!$A$1:$O$27,COLUMN(),TRUE)</f>
        <v>1.014109158</v>
      </c>
      <c r="O37" s="48">
        <f>VLOOKUP($A37,'Página15'!$A$1:$O$27,COLUMN(),TRUE)</f>
        <v>0.1244157269</v>
      </c>
      <c r="P37" s="73">
        <f t="shared" si="5"/>
        <v>2018</v>
      </c>
      <c r="Q37" s="73">
        <f t="shared" si="6"/>
        <v>12</v>
      </c>
    </row>
    <row r="38">
      <c r="A38" s="34">
        <v>43466.0</v>
      </c>
      <c r="B38" s="48">
        <f t="shared" si="1"/>
        <v>1.234885792</v>
      </c>
      <c r="C38" s="48">
        <f t="shared" si="2"/>
        <v>1.096236114</v>
      </c>
      <c r="D38" s="48">
        <f>IF(MONTH($A38)=12,2.333,1)*VLOOKUP($A38,'Página15'!$A$1:$O$27,COLUMN(),TRUE)</f>
        <v>1</v>
      </c>
      <c r="E38" s="48">
        <f t="shared" si="3"/>
        <v>1.251818005</v>
      </c>
      <c r="F38" s="48">
        <f t="shared" si="4"/>
        <v>1.103341323</v>
      </c>
      <c r="G38" s="48">
        <f>IF(MONTH($A38)=12,2.333,1)*VLOOKUP($A38,'Página15'!$A$1:$O$27,COLUMN(),TRUE)</f>
        <v>1</v>
      </c>
      <c r="H38" s="48">
        <f>VLOOKUP($A38,'Página15'!$A$1:$O$27,COLUMN(),TRUE)</f>
        <v>0.9975896677</v>
      </c>
      <c r="I38" s="48">
        <f>VLOOKUP($A38,'Página15'!$A$1:$O$27,COLUMN(),TRUE)</f>
        <v>0.2636622948</v>
      </c>
      <c r="J38" s="48">
        <f>VLOOKUP($A38,'Página15'!$A$1:$O$27,COLUMN(),TRUE)</f>
        <v>0.9975867447</v>
      </c>
      <c r="K38" s="48">
        <f>VLOOKUP($A38,'Página15'!$A$1:$O$27,COLUMN(),TRUE)</f>
        <v>0.1096103826</v>
      </c>
      <c r="L38" s="48">
        <f>VLOOKUP($A38,'Página15'!$A$1:$O$27,COLUMN(),TRUE)</f>
        <v>0.9977024921</v>
      </c>
      <c r="M38" s="48">
        <f>VLOOKUP($A38,'Página15'!$A$1:$O$27,COLUMN(),TRUE)</f>
        <v>0.2823504998</v>
      </c>
      <c r="N38" s="48">
        <f>VLOOKUP($A38,'Página15'!$A$1:$O$27,COLUMN(),TRUE)</f>
        <v>0.9976997532</v>
      </c>
      <c r="O38" s="48">
        <f>VLOOKUP($A38,'Página15'!$A$1:$O$27,COLUMN(),TRUE)</f>
        <v>0.1173794923</v>
      </c>
      <c r="P38" s="73">
        <f t="shared" si="5"/>
        <v>2019</v>
      </c>
      <c r="Q38" s="73">
        <f t="shared" si="6"/>
        <v>1</v>
      </c>
    </row>
    <row r="39">
      <c r="A39" s="34">
        <v>43497.0</v>
      </c>
      <c r="B39" s="48">
        <f t="shared" si="1"/>
        <v>1.234885792</v>
      </c>
      <c r="C39" s="48">
        <f t="shared" si="2"/>
        <v>1.096236114</v>
      </c>
      <c r="D39" s="48">
        <f>IF(MONTH($A39)=12,2.333,1)*VLOOKUP($A39,'Página15'!$A$1:$O$27,COLUMN(),TRUE)</f>
        <v>1</v>
      </c>
      <c r="E39" s="48">
        <f t="shared" si="3"/>
        <v>1.251818005</v>
      </c>
      <c r="F39" s="48">
        <f t="shared" si="4"/>
        <v>1.103341323</v>
      </c>
      <c r="G39" s="48">
        <f>IF(MONTH($A39)=12,2.333,1)*VLOOKUP($A39,'Página15'!$A$1:$O$27,COLUMN(),TRUE)</f>
        <v>1</v>
      </c>
      <c r="H39" s="48">
        <f>VLOOKUP($A39,'Página15'!$A$1:$O$27,COLUMN(),TRUE)</f>
        <v>0.9975896677</v>
      </c>
      <c r="I39" s="48">
        <f>VLOOKUP($A39,'Página15'!$A$1:$O$27,COLUMN(),TRUE)</f>
        <v>0.2636622948</v>
      </c>
      <c r="J39" s="48">
        <f>VLOOKUP($A39,'Página15'!$A$1:$O$27,COLUMN(),TRUE)</f>
        <v>0.9975867447</v>
      </c>
      <c r="K39" s="48">
        <f>VLOOKUP($A39,'Página15'!$A$1:$O$27,COLUMN(),TRUE)</f>
        <v>0.1096103826</v>
      </c>
      <c r="L39" s="48">
        <f>VLOOKUP($A39,'Página15'!$A$1:$O$27,COLUMN(),TRUE)</f>
        <v>0.9977024921</v>
      </c>
      <c r="M39" s="48">
        <f>VLOOKUP($A39,'Página15'!$A$1:$O$27,COLUMN(),TRUE)</f>
        <v>0.2823504998</v>
      </c>
      <c r="N39" s="48">
        <f>VLOOKUP($A39,'Página15'!$A$1:$O$27,COLUMN(),TRUE)</f>
        <v>0.9976997532</v>
      </c>
      <c r="O39" s="48">
        <f>VLOOKUP($A39,'Página15'!$A$1:$O$27,COLUMN(),TRUE)</f>
        <v>0.1173794923</v>
      </c>
      <c r="P39" s="73">
        <f t="shared" si="5"/>
        <v>2019</v>
      </c>
      <c r="Q39" s="73">
        <f t="shared" si="6"/>
        <v>2</v>
      </c>
    </row>
    <row r="40">
      <c r="A40" s="34">
        <v>43525.0</v>
      </c>
      <c r="B40" s="48">
        <f t="shared" si="1"/>
        <v>1.234885792</v>
      </c>
      <c r="C40" s="48">
        <f t="shared" si="2"/>
        <v>1.096236114</v>
      </c>
      <c r="D40" s="48">
        <f>IF(MONTH($A40)=12,2.333,1)*VLOOKUP($A40,'Página15'!$A$1:$O$27,COLUMN(),TRUE)</f>
        <v>1</v>
      </c>
      <c r="E40" s="48">
        <f t="shared" si="3"/>
        <v>1.251818005</v>
      </c>
      <c r="F40" s="48">
        <f t="shared" si="4"/>
        <v>1.103341323</v>
      </c>
      <c r="G40" s="48">
        <f>IF(MONTH($A40)=12,2.333,1)*VLOOKUP($A40,'Página15'!$A$1:$O$27,COLUMN(),TRUE)</f>
        <v>1</v>
      </c>
      <c r="H40" s="48">
        <f>VLOOKUP($A40,'Página15'!$A$1:$O$27,COLUMN(),TRUE)</f>
        <v>0.9975896677</v>
      </c>
      <c r="I40" s="48">
        <f>VLOOKUP($A40,'Página15'!$A$1:$O$27,COLUMN(),TRUE)</f>
        <v>0.2636622948</v>
      </c>
      <c r="J40" s="48">
        <f>VLOOKUP($A40,'Página15'!$A$1:$O$27,COLUMN(),TRUE)</f>
        <v>0.9975867447</v>
      </c>
      <c r="K40" s="48">
        <f>VLOOKUP($A40,'Página15'!$A$1:$O$27,COLUMN(),TRUE)</f>
        <v>0.1096103826</v>
      </c>
      <c r="L40" s="48">
        <f>VLOOKUP($A40,'Página15'!$A$1:$O$27,COLUMN(),TRUE)</f>
        <v>0.9977024921</v>
      </c>
      <c r="M40" s="48">
        <f>VLOOKUP($A40,'Página15'!$A$1:$O$27,COLUMN(),TRUE)</f>
        <v>0.2823504998</v>
      </c>
      <c r="N40" s="48">
        <f>VLOOKUP($A40,'Página15'!$A$1:$O$27,COLUMN(),TRUE)</f>
        <v>0.9976997532</v>
      </c>
      <c r="O40" s="48">
        <f>VLOOKUP($A40,'Página15'!$A$1:$O$27,COLUMN(),TRUE)</f>
        <v>0.1173794923</v>
      </c>
      <c r="P40" s="73">
        <f t="shared" si="5"/>
        <v>2019</v>
      </c>
      <c r="Q40" s="73">
        <f t="shared" si="6"/>
        <v>3</v>
      </c>
    </row>
    <row r="41">
      <c r="A41" s="34">
        <v>43556.0</v>
      </c>
      <c r="B41" s="48">
        <f t="shared" si="1"/>
        <v>1.234885792</v>
      </c>
      <c r="C41" s="48">
        <f t="shared" si="2"/>
        <v>1.096236114</v>
      </c>
      <c r="D41" s="48">
        <f>IF(MONTH($A41)=12,2.333,1)*VLOOKUP($A41,'Página15'!$A$1:$O$27,COLUMN(),TRUE)</f>
        <v>1</v>
      </c>
      <c r="E41" s="48">
        <f t="shared" si="3"/>
        <v>1.251818005</v>
      </c>
      <c r="F41" s="48">
        <f t="shared" si="4"/>
        <v>1.103341323</v>
      </c>
      <c r="G41" s="48">
        <f>IF(MONTH($A41)=12,2.333,1)*VLOOKUP($A41,'Página15'!$A$1:$O$27,COLUMN(),TRUE)</f>
        <v>1</v>
      </c>
      <c r="H41" s="48">
        <f>VLOOKUP($A41,'Página15'!$A$1:$O$27,COLUMN(),TRUE)</f>
        <v>0.9975896677</v>
      </c>
      <c r="I41" s="48">
        <f>VLOOKUP($A41,'Página15'!$A$1:$O$27,COLUMN(),TRUE)</f>
        <v>0.2636622948</v>
      </c>
      <c r="J41" s="48">
        <f>VLOOKUP($A41,'Página15'!$A$1:$O$27,COLUMN(),TRUE)</f>
        <v>0.9975867447</v>
      </c>
      <c r="K41" s="48">
        <f>VLOOKUP($A41,'Página15'!$A$1:$O$27,COLUMN(),TRUE)</f>
        <v>0.1096103826</v>
      </c>
      <c r="L41" s="48">
        <f>VLOOKUP($A41,'Página15'!$A$1:$O$27,COLUMN(),TRUE)</f>
        <v>0.9977024921</v>
      </c>
      <c r="M41" s="48">
        <f>VLOOKUP($A41,'Página15'!$A$1:$O$27,COLUMN(),TRUE)</f>
        <v>0.2823504998</v>
      </c>
      <c r="N41" s="48">
        <f>VLOOKUP($A41,'Página15'!$A$1:$O$27,COLUMN(),TRUE)</f>
        <v>0.9976997532</v>
      </c>
      <c r="O41" s="48">
        <f>VLOOKUP($A41,'Página15'!$A$1:$O$27,COLUMN(),TRUE)</f>
        <v>0.1173794923</v>
      </c>
      <c r="P41" s="73">
        <f t="shared" si="5"/>
        <v>2019</v>
      </c>
      <c r="Q41" s="73">
        <f t="shared" si="6"/>
        <v>4</v>
      </c>
    </row>
    <row r="42">
      <c r="A42" s="34">
        <v>43586.0</v>
      </c>
      <c r="B42" s="48">
        <f t="shared" si="1"/>
        <v>1.234885792</v>
      </c>
      <c r="C42" s="48">
        <f t="shared" si="2"/>
        <v>1.096236114</v>
      </c>
      <c r="D42" s="48">
        <f>IF(MONTH($A42)=12,2.333,1)*VLOOKUP($A42,'Página15'!$A$1:$O$27,COLUMN(),TRUE)</f>
        <v>1</v>
      </c>
      <c r="E42" s="48">
        <f t="shared" si="3"/>
        <v>1.251818005</v>
      </c>
      <c r="F42" s="48">
        <f t="shared" si="4"/>
        <v>1.103341323</v>
      </c>
      <c r="G42" s="48">
        <f>IF(MONTH($A42)=12,2.333,1)*VLOOKUP($A42,'Página15'!$A$1:$O$27,COLUMN(),TRUE)</f>
        <v>1</v>
      </c>
      <c r="H42" s="48">
        <f>VLOOKUP($A42,'Página15'!$A$1:$O$27,COLUMN(),TRUE)</f>
        <v>0.9975896677</v>
      </c>
      <c r="I42" s="48">
        <f>VLOOKUP($A42,'Página15'!$A$1:$O$27,COLUMN(),TRUE)</f>
        <v>0.2636622948</v>
      </c>
      <c r="J42" s="48">
        <f>VLOOKUP($A42,'Página15'!$A$1:$O$27,COLUMN(),TRUE)</f>
        <v>0.9975867447</v>
      </c>
      <c r="K42" s="48">
        <f>VLOOKUP($A42,'Página15'!$A$1:$O$27,COLUMN(),TRUE)</f>
        <v>0.1096103826</v>
      </c>
      <c r="L42" s="48">
        <f>VLOOKUP($A42,'Página15'!$A$1:$O$27,COLUMN(),TRUE)</f>
        <v>0.9977024921</v>
      </c>
      <c r="M42" s="48">
        <f>VLOOKUP($A42,'Página15'!$A$1:$O$27,COLUMN(),TRUE)</f>
        <v>0.2823504998</v>
      </c>
      <c r="N42" s="48">
        <f>VLOOKUP($A42,'Página15'!$A$1:$O$27,COLUMN(),TRUE)</f>
        <v>0.9976997532</v>
      </c>
      <c r="O42" s="48">
        <f>VLOOKUP($A42,'Página15'!$A$1:$O$27,COLUMN(),TRUE)</f>
        <v>0.1173794923</v>
      </c>
      <c r="P42" s="73">
        <f t="shared" si="5"/>
        <v>2019</v>
      </c>
      <c r="Q42" s="73">
        <f t="shared" si="6"/>
        <v>5</v>
      </c>
    </row>
    <row r="43">
      <c r="A43" s="34">
        <v>43617.0</v>
      </c>
      <c r="B43" s="48">
        <f t="shared" si="1"/>
        <v>1.234885792</v>
      </c>
      <c r="C43" s="48">
        <f t="shared" si="2"/>
        <v>1.096236114</v>
      </c>
      <c r="D43" s="48">
        <f>IF(MONTH($A43)=12,2.333,1)*VLOOKUP($A43,'Página15'!$A$1:$O$27,COLUMN(),TRUE)</f>
        <v>1</v>
      </c>
      <c r="E43" s="48">
        <f t="shared" si="3"/>
        <v>1.251818005</v>
      </c>
      <c r="F43" s="48">
        <f t="shared" si="4"/>
        <v>1.103341323</v>
      </c>
      <c r="G43" s="48">
        <f>IF(MONTH($A43)=12,2.333,1)*VLOOKUP($A43,'Página15'!$A$1:$O$27,COLUMN(),TRUE)</f>
        <v>1</v>
      </c>
      <c r="H43" s="48">
        <f>VLOOKUP($A43,'Página15'!$A$1:$O$27,COLUMN(),TRUE)</f>
        <v>0.9975896677</v>
      </c>
      <c r="I43" s="48">
        <f>VLOOKUP($A43,'Página15'!$A$1:$O$27,COLUMN(),TRUE)</f>
        <v>0.2636622948</v>
      </c>
      <c r="J43" s="48">
        <f>VLOOKUP($A43,'Página15'!$A$1:$O$27,COLUMN(),TRUE)</f>
        <v>0.9975867447</v>
      </c>
      <c r="K43" s="48">
        <f>VLOOKUP($A43,'Página15'!$A$1:$O$27,COLUMN(),TRUE)</f>
        <v>0.1096103826</v>
      </c>
      <c r="L43" s="48">
        <f>VLOOKUP($A43,'Página15'!$A$1:$O$27,COLUMN(),TRUE)</f>
        <v>0.9977024921</v>
      </c>
      <c r="M43" s="48">
        <f>VLOOKUP($A43,'Página15'!$A$1:$O$27,COLUMN(),TRUE)</f>
        <v>0.2823504998</v>
      </c>
      <c r="N43" s="48">
        <f>VLOOKUP($A43,'Página15'!$A$1:$O$27,COLUMN(),TRUE)</f>
        <v>0.9976997532</v>
      </c>
      <c r="O43" s="48">
        <f>VLOOKUP($A43,'Página15'!$A$1:$O$27,COLUMN(),TRUE)</f>
        <v>0.1173794923</v>
      </c>
      <c r="P43" s="73">
        <f t="shared" si="5"/>
        <v>2019</v>
      </c>
      <c r="Q43" s="73">
        <f t="shared" si="6"/>
        <v>6</v>
      </c>
    </row>
    <row r="44">
      <c r="A44" s="34">
        <v>43647.0</v>
      </c>
      <c r="B44" s="48">
        <f t="shared" si="1"/>
        <v>1.234885792</v>
      </c>
      <c r="C44" s="48">
        <f t="shared" si="2"/>
        <v>1.096236114</v>
      </c>
      <c r="D44" s="48">
        <f>IF(MONTH($A44)=12,2.333,1)*VLOOKUP($A44,'Página15'!$A$1:$O$27,COLUMN(),TRUE)</f>
        <v>1</v>
      </c>
      <c r="E44" s="48">
        <f t="shared" si="3"/>
        <v>1.251818005</v>
      </c>
      <c r="F44" s="48">
        <f t="shared" si="4"/>
        <v>1.103341323</v>
      </c>
      <c r="G44" s="48">
        <f>IF(MONTH($A44)=12,2.333,1)*VLOOKUP($A44,'Página15'!$A$1:$O$27,COLUMN(),TRUE)</f>
        <v>1</v>
      </c>
      <c r="H44" s="48">
        <f>VLOOKUP($A44,'Página15'!$A$1:$O$27,COLUMN(),TRUE)</f>
        <v>0.9975896677</v>
      </c>
      <c r="I44" s="48">
        <f>VLOOKUP($A44,'Página15'!$A$1:$O$27,COLUMN(),TRUE)</f>
        <v>0.2636622948</v>
      </c>
      <c r="J44" s="48">
        <f>VLOOKUP($A44,'Página15'!$A$1:$O$27,COLUMN(),TRUE)</f>
        <v>0.9975867447</v>
      </c>
      <c r="K44" s="48">
        <f>VLOOKUP($A44,'Página15'!$A$1:$O$27,COLUMN(),TRUE)</f>
        <v>0.1096103826</v>
      </c>
      <c r="L44" s="48">
        <f>VLOOKUP($A44,'Página15'!$A$1:$O$27,COLUMN(),TRUE)</f>
        <v>0.9977024921</v>
      </c>
      <c r="M44" s="48">
        <f>VLOOKUP($A44,'Página15'!$A$1:$O$27,COLUMN(),TRUE)</f>
        <v>0.2823504998</v>
      </c>
      <c r="N44" s="48">
        <f>VLOOKUP($A44,'Página15'!$A$1:$O$27,COLUMN(),TRUE)</f>
        <v>0.9976997532</v>
      </c>
      <c r="O44" s="48">
        <f>VLOOKUP($A44,'Página15'!$A$1:$O$27,COLUMN(),TRUE)</f>
        <v>0.1173794923</v>
      </c>
      <c r="P44" s="73">
        <f t="shared" si="5"/>
        <v>2019</v>
      </c>
      <c r="Q44" s="73">
        <f t="shared" si="6"/>
        <v>7</v>
      </c>
    </row>
    <row r="45">
      <c r="A45" s="34">
        <v>43678.0</v>
      </c>
      <c r="B45" s="48">
        <f t="shared" si="1"/>
        <v>1.234885792</v>
      </c>
      <c r="C45" s="48">
        <f t="shared" si="2"/>
        <v>1.096236114</v>
      </c>
      <c r="D45" s="48">
        <f>IF(MONTH($A45)=12,2.333,1)*VLOOKUP($A45,'Página15'!$A$1:$O$27,COLUMN(),TRUE)</f>
        <v>1</v>
      </c>
      <c r="E45" s="48">
        <f t="shared" si="3"/>
        <v>1.251818005</v>
      </c>
      <c r="F45" s="48">
        <f t="shared" si="4"/>
        <v>1.103341323</v>
      </c>
      <c r="G45" s="48">
        <f>IF(MONTH($A45)=12,2.333,1)*VLOOKUP($A45,'Página15'!$A$1:$O$27,COLUMN(),TRUE)</f>
        <v>1</v>
      </c>
      <c r="H45" s="48">
        <f>VLOOKUP($A45,'Página15'!$A$1:$O$27,COLUMN(),TRUE)</f>
        <v>0.9975896677</v>
      </c>
      <c r="I45" s="48">
        <f>VLOOKUP($A45,'Página15'!$A$1:$O$27,COLUMN(),TRUE)</f>
        <v>0.2636622948</v>
      </c>
      <c r="J45" s="48">
        <f>VLOOKUP($A45,'Página15'!$A$1:$O$27,COLUMN(),TRUE)</f>
        <v>0.9975867447</v>
      </c>
      <c r="K45" s="48">
        <f>VLOOKUP($A45,'Página15'!$A$1:$O$27,COLUMN(),TRUE)</f>
        <v>0.1096103826</v>
      </c>
      <c r="L45" s="48">
        <f>VLOOKUP($A45,'Página15'!$A$1:$O$27,COLUMN(),TRUE)</f>
        <v>0.9977024921</v>
      </c>
      <c r="M45" s="48">
        <f>VLOOKUP($A45,'Página15'!$A$1:$O$27,COLUMN(),TRUE)</f>
        <v>0.2823504998</v>
      </c>
      <c r="N45" s="48">
        <f>VLOOKUP($A45,'Página15'!$A$1:$O$27,COLUMN(),TRUE)</f>
        <v>0.9976997532</v>
      </c>
      <c r="O45" s="48">
        <f>VLOOKUP($A45,'Página15'!$A$1:$O$27,COLUMN(),TRUE)</f>
        <v>0.1173794923</v>
      </c>
      <c r="P45" s="73">
        <f t="shared" si="5"/>
        <v>2019</v>
      </c>
      <c r="Q45" s="73">
        <f t="shared" si="6"/>
        <v>8</v>
      </c>
    </row>
    <row r="46">
      <c r="A46" s="34">
        <v>43709.0</v>
      </c>
      <c r="B46" s="48">
        <f t="shared" si="1"/>
        <v>1.234885792</v>
      </c>
      <c r="C46" s="48">
        <f t="shared" si="2"/>
        <v>1.096236114</v>
      </c>
      <c r="D46" s="48">
        <f>IF(MONTH($A46)=12,2.333,1)*VLOOKUP($A46,'Página15'!$A$1:$O$27,COLUMN(),TRUE)</f>
        <v>1</v>
      </c>
      <c r="E46" s="48">
        <f t="shared" si="3"/>
        <v>1.251818005</v>
      </c>
      <c r="F46" s="48">
        <f t="shared" si="4"/>
        <v>1.103341323</v>
      </c>
      <c r="G46" s="48">
        <f>IF(MONTH($A46)=12,2.333,1)*VLOOKUP($A46,'Página15'!$A$1:$O$27,COLUMN(),TRUE)</f>
        <v>1</v>
      </c>
      <c r="H46" s="48">
        <f>VLOOKUP($A46,'Página15'!$A$1:$O$27,COLUMN(),TRUE)</f>
        <v>0.9975896677</v>
      </c>
      <c r="I46" s="48">
        <f>VLOOKUP($A46,'Página15'!$A$1:$O$27,COLUMN(),TRUE)</f>
        <v>0.2636622948</v>
      </c>
      <c r="J46" s="48">
        <f>VLOOKUP($A46,'Página15'!$A$1:$O$27,COLUMN(),TRUE)</f>
        <v>0.9975867447</v>
      </c>
      <c r="K46" s="48">
        <f>VLOOKUP($A46,'Página15'!$A$1:$O$27,COLUMN(),TRUE)</f>
        <v>0.1096103826</v>
      </c>
      <c r="L46" s="48">
        <f>VLOOKUP($A46,'Página15'!$A$1:$O$27,COLUMN(),TRUE)</f>
        <v>0.9977024921</v>
      </c>
      <c r="M46" s="48">
        <f>VLOOKUP($A46,'Página15'!$A$1:$O$27,COLUMN(),TRUE)</f>
        <v>0.2823504998</v>
      </c>
      <c r="N46" s="48">
        <f>VLOOKUP($A46,'Página15'!$A$1:$O$27,COLUMN(),TRUE)</f>
        <v>0.9976997532</v>
      </c>
      <c r="O46" s="48">
        <f>VLOOKUP($A46,'Página15'!$A$1:$O$27,COLUMN(),TRUE)</f>
        <v>0.1173794923</v>
      </c>
      <c r="P46" s="73">
        <f t="shared" si="5"/>
        <v>2019</v>
      </c>
      <c r="Q46" s="73">
        <f t="shared" si="6"/>
        <v>9</v>
      </c>
    </row>
    <row r="47">
      <c r="A47" s="34">
        <v>43739.0</v>
      </c>
      <c r="B47" s="48">
        <f t="shared" si="1"/>
        <v>1.234885792</v>
      </c>
      <c r="C47" s="48">
        <f t="shared" si="2"/>
        <v>1.096236114</v>
      </c>
      <c r="D47" s="48">
        <f>IF(MONTH($A47)=12,2.333,1)*VLOOKUP($A47,'Página15'!$A$1:$O$27,COLUMN(),TRUE)</f>
        <v>1</v>
      </c>
      <c r="E47" s="48">
        <f t="shared" si="3"/>
        <v>1.251818005</v>
      </c>
      <c r="F47" s="48">
        <f t="shared" si="4"/>
        <v>1.103341323</v>
      </c>
      <c r="G47" s="48">
        <f>IF(MONTH($A47)=12,2.333,1)*VLOOKUP($A47,'Página15'!$A$1:$O$27,COLUMN(),TRUE)</f>
        <v>1</v>
      </c>
      <c r="H47" s="48">
        <f>VLOOKUP($A47,'Página15'!$A$1:$O$27,COLUMN(),TRUE)</f>
        <v>0.9975896677</v>
      </c>
      <c r="I47" s="48">
        <f>VLOOKUP($A47,'Página15'!$A$1:$O$27,COLUMN(),TRUE)</f>
        <v>0.2636622948</v>
      </c>
      <c r="J47" s="48">
        <f>VLOOKUP($A47,'Página15'!$A$1:$O$27,COLUMN(),TRUE)</f>
        <v>0.9975867447</v>
      </c>
      <c r="K47" s="48">
        <f>VLOOKUP($A47,'Página15'!$A$1:$O$27,COLUMN(),TRUE)</f>
        <v>0.1096103826</v>
      </c>
      <c r="L47" s="48">
        <f>VLOOKUP($A47,'Página15'!$A$1:$O$27,COLUMN(),TRUE)</f>
        <v>0.9977024921</v>
      </c>
      <c r="M47" s="48">
        <f>VLOOKUP($A47,'Página15'!$A$1:$O$27,COLUMN(),TRUE)</f>
        <v>0.2823504998</v>
      </c>
      <c r="N47" s="48">
        <f>VLOOKUP($A47,'Página15'!$A$1:$O$27,COLUMN(),TRUE)</f>
        <v>0.9976997532</v>
      </c>
      <c r="O47" s="48">
        <f>VLOOKUP($A47,'Página15'!$A$1:$O$27,COLUMN(),TRUE)</f>
        <v>0.1173794923</v>
      </c>
      <c r="P47" s="73">
        <f t="shared" si="5"/>
        <v>2019</v>
      </c>
      <c r="Q47" s="73">
        <f t="shared" si="6"/>
        <v>10</v>
      </c>
    </row>
    <row r="48">
      <c r="A48" s="34">
        <v>43770.0</v>
      </c>
      <c r="B48" s="48">
        <f t="shared" si="1"/>
        <v>1.234885792</v>
      </c>
      <c r="C48" s="48">
        <f t="shared" si="2"/>
        <v>1.096236114</v>
      </c>
      <c r="D48" s="48">
        <f>IF(MONTH($A48)=12,2.333,1)*VLOOKUP($A48,'Página15'!$A$1:$O$27,COLUMN(),TRUE)</f>
        <v>1</v>
      </c>
      <c r="E48" s="48">
        <f t="shared" si="3"/>
        <v>1.251818005</v>
      </c>
      <c r="F48" s="48">
        <f t="shared" si="4"/>
        <v>1.103341323</v>
      </c>
      <c r="G48" s="48">
        <f>IF(MONTH($A48)=12,2.333,1)*VLOOKUP($A48,'Página15'!$A$1:$O$27,COLUMN(),TRUE)</f>
        <v>1</v>
      </c>
      <c r="H48" s="48">
        <f>VLOOKUP($A48,'Página15'!$A$1:$O$27,COLUMN(),TRUE)</f>
        <v>0.9975896677</v>
      </c>
      <c r="I48" s="48">
        <f>VLOOKUP($A48,'Página15'!$A$1:$O$27,COLUMN(),TRUE)</f>
        <v>0.2636622948</v>
      </c>
      <c r="J48" s="48">
        <f>VLOOKUP($A48,'Página15'!$A$1:$O$27,COLUMN(),TRUE)</f>
        <v>0.9975867447</v>
      </c>
      <c r="K48" s="48">
        <f>VLOOKUP($A48,'Página15'!$A$1:$O$27,COLUMN(),TRUE)</f>
        <v>0.1096103826</v>
      </c>
      <c r="L48" s="48">
        <f>VLOOKUP($A48,'Página15'!$A$1:$O$27,COLUMN(),TRUE)</f>
        <v>0.9977024921</v>
      </c>
      <c r="M48" s="48">
        <f>VLOOKUP($A48,'Página15'!$A$1:$O$27,COLUMN(),TRUE)</f>
        <v>0.2823504998</v>
      </c>
      <c r="N48" s="48">
        <f>VLOOKUP($A48,'Página15'!$A$1:$O$27,COLUMN(),TRUE)</f>
        <v>0.9976997532</v>
      </c>
      <c r="O48" s="48">
        <f>VLOOKUP($A48,'Página15'!$A$1:$O$27,COLUMN(),TRUE)</f>
        <v>0.1173794923</v>
      </c>
      <c r="P48" s="73">
        <f t="shared" si="5"/>
        <v>2019</v>
      </c>
      <c r="Q48" s="73">
        <f t="shared" si="6"/>
        <v>11</v>
      </c>
    </row>
    <row r="49">
      <c r="A49" s="34">
        <v>43800.0</v>
      </c>
      <c r="B49" s="48">
        <f t="shared" si="1"/>
        <v>2.880988553</v>
      </c>
      <c r="C49" s="48">
        <f t="shared" si="2"/>
        <v>2.557518853</v>
      </c>
      <c r="D49" s="48">
        <f>IF(MONTH($A49)=12,2.333,1)*VLOOKUP($A49,'Página15'!$A$1:$O$27,COLUMN(),TRUE)</f>
        <v>2.333</v>
      </c>
      <c r="E49" s="48">
        <f t="shared" si="3"/>
        <v>2.920491407</v>
      </c>
      <c r="F49" s="48">
        <f t="shared" si="4"/>
        <v>2.574095306</v>
      </c>
      <c r="G49" s="48">
        <f>IF(MONTH($A49)=12,2.333,1)*VLOOKUP($A49,'Página15'!$A$1:$O$27,COLUMN(),TRUE)</f>
        <v>2.333</v>
      </c>
      <c r="H49" s="48">
        <f>VLOOKUP($A49,'Página15'!$A$1:$O$27,COLUMN(),TRUE)</f>
        <v>0.9975896677</v>
      </c>
      <c r="I49" s="48">
        <f>VLOOKUP($A49,'Página15'!$A$1:$O$27,COLUMN(),TRUE)</f>
        <v>0.2636622948</v>
      </c>
      <c r="J49" s="48">
        <f>VLOOKUP($A49,'Página15'!$A$1:$O$27,COLUMN(),TRUE)</f>
        <v>0.9975867447</v>
      </c>
      <c r="K49" s="48">
        <f>VLOOKUP($A49,'Página15'!$A$1:$O$27,COLUMN(),TRUE)</f>
        <v>0.1096103826</v>
      </c>
      <c r="L49" s="48">
        <f>VLOOKUP($A49,'Página15'!$A$1:$O$27,COLUMN(),TRUE)</f>
        <v>0.9977024921</v>
      </c>
      <c r="M49" s="48">
        <f>VLOOKUP($A49,'Página15'!$A$1:$O$27,COLUMN(),TRUE)</f>
        <v>0.2823504998</v>
      </c>
      <c r="N49" s="48">
        <f>VLOOKUP($A49,'Página15'!$A$1:$O$27,COLUMN(),TRUE)</f>
        <v>0.9976997532</v>
      </c>
      <c r="O49" s="48">
        <f>VLOOKUP($A49,'Página15'!$A$1:$O$27,COLUMN(),TRUE)</f>
        <v>0.1173794923</v>
      </c>
      <c r="P49" s="73">
        <f t="shared" si="5"/>
        <v>2019</v>
      </c>
      <c r="Q49" s="73">
        <f t="shared" si="6"/>
        <v>12</v>
      </c>
    </row>
    <row r="50">
      <c r="A50" s="34">
        <v>43831.0</v>
      </c>
      <c r="B50" s="48">
        <f t="shared" si="1"/>
        <v>1.255722183</v>
      </c>
      <c r="C50" s="48">
        <f t="shared" si="2"/>
        <v>1.096236114</v>
      </c>
      <c r="D50" s="48">
        <f>IF(MONTH($A50)=12,2.333,1)*VLOOKUP($A50,'Página15'!$A$1:$O$27,COLUMN(),TRUE)</f>
        <v>1</v>
      </c>
      <c r="E50" s="48">
        <f t="shared" si="3"/>
        <v>1.274131266</v>
      </c>
      <c r="F50" s="48">
        <f t="shared" si="4"/>
        <v>1.103341323</v>
      </c>
      <c r="G50" s="48">
        <f>IF(MONTH($A50)=12,2.333,1)*VLOOKUP($A50,'Página15'!$A$1:$O$27,COLUMN(),TRUE)</f>
        <v>1</v>
      </c>
      <c r="H50" s="48">
        <f>VLOOKUP($A50,'Página15'!$A$1:$O$27,COLUMN(),TRUE)</f>
        <v>0.9975896677</v>
      </c>
      <c r="I50" s="48">
        <f>VLOOKUP($A50,'Página15'!$A$1:$O$27,COLUMN(),TRUE)</f>
        <v>0.2868138344</v>
      </c>
      <c r="J50" s="48">
        <f>VLOOKUP($A50,'Página15'!$A$1:$O$27,COLUMN(),TRUE)</f>
        <v>0.9975867447</v>
      </c>
      <c r="K50" s="48">
        <f>VLOOKUP($A50,'Página15'!$A$1:$O$27,COLUMN(),TRUE)</f>
        <v>0.1096103826</v>
      </c>
      <c r="L50" s="48">
        <f>VLOOKUP($A50,'Página15'!$A$1:$O$27,COLUMN(),TRUE)</f>
        <v>0.9977024921</v>
      </c>
      <c r="M50" s="48">
        <f>VLOOKUP($A50,'Página15'!$A$1:$O$27,COLUMN(),TRUE)</f>
        <v>0.3071430049</v>
      </c>
      <c r="N50" s="48">
        <f>VLOOKUP($A50,'Página15'!$A$1:$O$27,COLUMN(),TRUE)</f>
        <v>0.9976997532</v>
      </c>
      <c r="O50" s="48">
        <f>VLOOKUP($A50,'Página15'!$A$1:$O$27,COLUMN(),TRUE)</f>
        <v>0.1173794923</v>
      </c>
      <c r="P50" s="73">
        <f t="shared" si="5"/>
        <v>2020</v>
      </c>
      <c r="Q50" s="73">
        <f t="shared" si="6"/>
        <v>1</v>
      </c>
    </row>
    <row r="51">
      <c r="A51" s="34">
        <v>43862.0</v>
      </c>
      <c r="B51" s="48">
        <f t="shared" si="1"/>
        <v>1.255722183</v>
      </c>
      <c r="C51" s="48">
        <f t="shared" si="2"/>
        <v>1.096236114</v>
      </c>
      <c r="D51" s="48">
        <f>IF(MONTH($A51)=12,2.333,1)*VLOOKUP($A51,'Página15'!$A$1:$O$27,COLUMN(),TRUE)</f>
        <v>1</v>
      </c>
      <c r="E51" s="48">
        <f t="shared" si="3"/>
        <v>1.274131266</v>
      </c>
      <c r="F51" s="48">
        <f t="shared" si="4"/>
        <v>1.103341323</v>
      </c>
      <c r="G51" s="48">
        <f>IF(MONTH($A51)=12,2.333,1)*VLOOKUP($A51,'Página15'!$A$1:$O$27,COLUMN(),TRUE)</f>
        <v>1</v>
      </c>
      <c r="H51" s="48">
        <f>VLOOKUP($A51,'Página15'!$A$1:$O$27,COLUMN(),TRUE)</f>
        <v>0.9975896677</v>
      </c>
      <c r="I51" s="48">
        <f>VLOOKUP($A51,'Página15'!$A$1:$O$27,COLUMN(),TRUE)</f>
        <v>0.2868138344</v>
      </c>
      <c r="J51" s="48">
        <f>VLOOKUP($A51,'Página15'!$A$1:$O$27,COLUMN(),TRUE)</f>
        <v>0.9975867447</v>
      </c>
      <c r="K51" s="48">
        <f>VLOOKUP($A51,'Página15'!$A$1:$O$27,COLUMN(),TRUE)</f>
        <v>0.1096103826</v>
      </c>
      <c r="L51" s="48">
        <f>VLOOKUP($A51,'Página15'!$A$1:$O$27,COLUMN(),TRUE)</f>
        <v>0.9977024921</v>
      </c>
      <c r="M51" s="48">
        <f>VLOOKUP($A51,'Página15'!$A$1:$O$27,COLUMN(),TRUE)</f>
        <v>0.3071430049</v>
      </c>
      <c r="N51" s="48">
        <f>VLOOKUP($A51,'Página15'!$A$1:$O$27,COLUMN(),TRUE)</f>
        <v>0.9976997532</v>
      </c>
      <c r="O51" s="48">
        <f>VLOOKUP($A51,'Página15'!$A$1:$O$27,COLUMN(),TRUE)</f>
        <v>0.1173794923</v>
      </c>
      <c r="P51" s="73">
        <f t="shared" si="5"/>
        <v>2020</v>
      </c>
      <c r="Q51" s="73">
        <f t="shared" si="6"/>
        <v>2</v>
      </c>
    </row>
    <row r="52">
      <c r="A52" s="34">
        <v>43891.0</v>
      </c>
      <c r="B52" s="48">
        <f t="shared" si="1"/>
        <v>1.265281307</v>
      </c>
      <c r="C52" s="48">
        <f t="shared" si="2"/>
        <v>1.096236114</v>
      </c>
      <c r="D52" s="48">
        <f>IF(MONTH($A52)=12,2.333,1)*VLOOKUP($A52,'Página15'!$A$1:$O$27,COLUMN(),TRUE)</f>
        <v>1</v>
      </c>
      <c r="E52" s="48">
        <f t="shared" si="3"/>
        <v>1.299660328</v>
      </c>
      <c r="F52" s="48">
        <f t="shared" si="4"/>
        <v>1.109037433</v>
      </c>
      <c r="G52" s="48">
        <f>IF(MONTH($A52)=12,2.333,1)*VLOOKUP($A52,'Página15'!$A$1:$O$27,COLUMN(),TRUE)</f>
        <v>1</v>
      </c>
      <c r="H52" s="48">
        <f>VLOOKUP($A52,'Página15'!$A$1:$O$27,COLUMN(),TRUE)</f>
        <v>0.9975896677</v>
      </c>
      <c r="I52" s="48">
        <f>VLOOKUP($A52,'Página15'!$A$1:$O$27,COLUMN(),TRUE)</f>
        <v>0.2974350805</v>
      </c>
      <c r="J52" s="48">
        <f>VLOOKUP($A52,'Página15'!$A$1:$O$27,COLUMN(),TRUE)</f>
        <v>0.9975867447</v>
      </c>
      <c r="K52" s="48">
        <f>VLOOKUP($A52,'Página15'!$A$1:$O$27,COLUMN(),TRUE)</f>
        <v>0.1096103826</v>
      </c>
      <c r="L52" s="48">
        <f>VLOOKUP($A52,'Página15'!$A$1:$O$27,COLUMN(),TRUE)</f>
        <v>0.9977986516</v>
      </c>
      <c r="M52" s="48">
        <f>VLOOKUP($A52,'Página15'!$A$1:$O$27,COLUMN(),TRUE)</f>
        <v>0.335401779</v>
      </c>
      <c r="N52" s="48">
        <f>VLOOKUP($A52,'Página15'!$A$1:$O$27,COLUMN(),TRUE)</f>
        <v>0.9977957675</v>
      </c>
      <c r="O52" s="48">
        <f>VLOOKUP($A52,'Página15'!$A$1:$O$27,COLUMN(),TRUE)</f>
        <v>0.1236018201</v>
      </c>
      <c r="P52" s="73">
        <f t="shared" si="5"/>
        <v>2020</v>
      </c>
      <c r="Q52" s="73">
        <f t="shared" si="6"/>
        <v>3</v>
      </c>
    </row>
    <row r="53">
      <c r="A53" s="34">
        <v>43922.0</v>
      </c>
      <c r="B53" s="48">
        <f t="shared" si="1"/>
        <v>1.265281307</v>
      </c>
      <c r="C53" s="48">
        <f t="shared" si="2"/>
        <v>1.096236114</v>
      </c>
      <c r="D53" s="48">
        <f>IF(MONTH($A53)=12,2.333,1)*VLOOKUP($A53,'Página15'!$A$1:$O$27,COLUMN(),TRUE)</f>
        <v>1</v>
      </c>
      <c r="E53" s="48">
        <f t="shared" si="3"/>
        <v>1.299660328</v>
      </c>
      <c r="F53" s="48">
        <f t="shared" si="4"/>
        <v>1.109037433</v>
      </c>
      <c r="G53" s="48">
        <f>IF(MONTH($A53)=12,2.333,1)*VLOOKUP($A53,'Página15'!$A$1:$O$27,COLUMN(),TRUE)</f>
        <v>1</v>
      </c>
      <c r="H53" s="48">
        <f>VLOOKUP($A53,'Página15'!$A$1:$O$27,COLUMN(),TRUE)</f>
        <v>0.9975896677</v>
      </c>
      <c r="I53" s="48">
        <f>VLOOKUP($A53,'Página15'!$A$1:$O$27,COLUMN(),TRUE)</f>
        <v>0.2974350805</v>
      </c>
      <c r="J53" s="48">
        <f>VLOOKUP($A53,'Página15'!$A$1:$O$27,COLUMN(),TRUE)</f>
        <v>0.9975867447</v>
      </c>
      <c r="K53" s="48">
        <f>VLOOKUP($A53,'Página15'!$A$1:$O$27,COLUMN(),TRUE)</f>
        <v>0.1096103826</v>
      </c>
      <c r="L53" s="48">
        <f>VLOOKUP($A53,'Página15'!$A$1:$O$27,COLUMN(),TRUE)</f>
        <v>0.9977986516</v>
      </c>
      <c r="M53" s="48">
        <f>VLOOKUP($A53,'Página15'!$A$1:$O$27,COLUMN(),TRUE)</f>
        <v>0.335401779</v>
      </c>
      <c r="N53" s="48">
        <f>VLOOKUP($A53,'Página15'!$A$1:$O$27,COLUMN(),TRUE)</f>
        <v>0.9977957675</v>
      </c>
      <c r="O53" s="48">
        <f>VLOOKUP($A53,'Página15'!$A$1:$O$27,COLUMN(),TRUE)</f>
        <v>0.1236018201</v>
      </c>
      <c r="P53" s="73">
        <f t="shared" si="5"/>
        <v>2020</v>
      </c>
      <c r="Q53" s="73">
        <f t="shared" si="6"/>
        <v>4</v>
      </c>
    </row>
    <row r="54">
      <c r="A54" s="34">
        <v>43952.0</v>
      </c>
      <c r="B54" s="48">
        <f t="shared" si="1"/>
        <v>1.265281307</v>
      </c>
      <c r="C54" s="48">
        <f t="shared" si="2"/>
        <v>1.096236114</v>
      </c>
      <c r="D54" s="48">
        <f>IF(MONTH($A54)=12,2.333,1)*VLOOKUP($A54,'Página15'!$A$1:$O$27,COLUMN(),TRUE)</f>
        <v>1</v>
      </c>
      <c r="E54" s="48">
        <f t="shared" si="3"/>
        <v>1.299660328</v>
      </c>
      <c r="F54" s="48">
        <f t="shared" si="4"/>
        <v>1.109037433</v>
      </c>
      <c r="G54" s="48">
        <f>IF(MONTH($A54)=12,2.333,1)*VLOOKUP($A54,'Página15'!$A$1:$O$27,COLUMN(),TRUE)</f>
        <v>1</v>
      </c>
      <c r="H54" s="48">
        <f>VLOOKUP($A54,'Página15'!$A$1:$O$27,COLUMN(),TRUE)</f>
        <v>0.9975896677</v>
      </c>
      <c r="I54" s="48">
        <f>VLOOKUP($A54,'Página15'!$A$1:$O$27,COLUMN(),TRUE)</f>
        <v>0.2974350805</v>
      </c>
      <c r="J54" s="48">
        <f>VLOOKUP($A54,'Página15'!$A$1:$O$27,COLUMN(),TRUE)</f>
        <v>0.9975867447</v>
      </c>
      <c r="K54" s="48">
        <f>VLOOKUP($A54,'Página15'!$A$1:$O$27,COLUMN(),TRUE)</f>
        <v>0.1096103826</v>
      </c>
      <c r="L54" s="48">
        <f>VLOOKUP($A54,'Página15'!$A$1:$O$27,COLUMN(),TRUE)</f>
        <v>0.9977986516</v>
      </c>
      <c r="M54" s="48">
        <f>VLOOKUP($A54,'Página15'!$A$1:$O$27,COLUMN(),TRUE)</f>
        <v>0.335401779</v>
      </c>
      <c r="N54" s="48">
        <f>VLOOKUP($A54,'Página15'!$A$1:$O$27,COLUMN(),TRUE)</f>
        <v>0.9977957675</v>
      </c>
      <c r="O54" s="48">
        <f>VLOOKUP($A54,'Página15'!$A$1:$O$27,COLUMN(),TRUE)</f>
        <v>0.1236018201</v>
      </c>
      <c r="P54" s="73">
        <f t="shared" si="5"/>
        <v>2020</v>
      </c>
      <c r="Q54" s="73">
        <f t="shared" si="6"/>
        <v>5</v>
      </c>
    </row>
    <row r="55">
      <c r="A55" s="34">
        <v>43983.0</v>
      </c>
      <c r="B55" s="48">
        <f t="shared" si="1"/>
        <v>1.265281307</v>
      </c>
      <c r="C55" s="48">
        <f t="shared" si="2"/>
        <v>1.096236114</v>
      </c>
      <c r="D55" s="48">
        <f>IF(MONTH($A55)=12,2.333,1)*VLOOKUP($A55,'Página15'!$A$1:$O$27,COLUMN(),TRUE)</f>
        <v>1</v>
      </c>
      <c r="E55" s="48">
        <f t="shared" si="3"/>
        <v>1.299660328</v>
      </c>
      <c r="F55" s="48">
        <f t="shared" si="4"/>
        <v>1.109037433</v>
      </c>
      <c r="G55" s="48">
        <f>IF(MONTH($A55)=12,2.333,1)*VLOOKUP($A55,'Página15'!$A$1:$O$27,COLUMN(),TRUE)</f>
        <v>1</v>
      </c>
      <c r="H55" s="48">
        <f>VLOOKUP($A55,'Página15'!$A$1:$O$27,COLUMN(),TRUE)</f>
        <v>0.9975896677</v>
      </c>
      <c r="I55" s="48">
        <f>VLOOKUP($A55,'Página15'!$A$1:$O$27,COLUMN(),TRUE)</f>
        <v>0.2974350805</v>
      </c>
      <c r="J55" s="48">
        <f>VLOOKUP($A55,'Página15'!$A$1:$O$27,COLUMN(),TRUE)</f>
        <v>0.9975867447</v>
      </c>
      <c r="K55" s="48">
        <f>VLOOKUP($A55,'Página15'!$A$1:$O$27,COLUMN(),TRUE)</f>
        <v>0.1096103826</v>
      </c>
      <c r="L55" s="48">
        <f>VLOOKUP($A55,'Página15'!$A$1:$O$27,COLUMN(),TRUE)</f>
        <v>0.9977986516</v>
      </c>
      <c r="M55" s="48">
        <f>VLOOKUP($A55,'Página15'!$A$1:$O$27,COLUMN(),TRUE)</f>
        <v>0.335401779</v>
      </c>
      <c r="N55" s="48">
        <f>VLOOKUP($A55,'Página15'!$A$1:$O$27,COLUMN(),TRUE)</f>
        <v>0.9977957675</v>
      </c>
      <c r="O55" s="48">
        <f>VLOOKUP($A55,'Página15'!$A$1:$O$27,COLUMN(),TRUE)</f>
        <v>0.1236018201</v>
      </c>
      <c r="P55" s="73">
        <f t="shared" si="5"/>
        <v>2020</v>
      </c>
      <c r="Q55" s="73">
        <f t="shared" si="6"/>
        <v>6</v>
      </c>
    </row>
    <row r="56">
      <c r="A56" s="34">
        <v>44013.0</v>
      </c>
      <c r="B56" s="48">
        <f t="shared" si="1"/>
        <v>1.265281307</v>
      </c>
      <c r="C56" s="48">
        <f t="shared" si="2"/>
        <v>1.096236114</v>
      </c>
      <c r="D56" s="48">
        <f>IF(MONTH($A56)=12,2.333,1)*VLOOKUP($A56,'Página15'!$A$1:$O$27,COLUMN(),TRUE)</f>
        <v>1</v>
      </c>
      <c r="E56" s="48">
        <f t="shared" si="3"/>
        <v>1.299660328</v>
      </c>
      <c r="F56" s="48">
        <f t="shared" si="4"/>
        <v>1.109037433</v>
      </c>
      <c r="G56" s="48">
        <f>IF(MONTH($A56)=12,2.333,1)*VLOOKUP($A56,'Página15'!$A$1:$O$27,COLUMN(),TRUE)</f>
        <v>1</v>
      </c>
      <c r="H56" s="48">
        <f>VLOOKUP($A56,'Página15'!$A$1:$O$27,COLUMN(),TRUE)</f>
        <v>0.9975896677</v>
      </c>
      <c r="I56" s="48">
        <f>VLOOKUP($A56,'Página15'!$A$1:$O$27,COLUMN(),TRUE)</f>
        <v>0.2974350805</v>
      </c>
      <c r="J56" s="48">
        <f>VLOOKUP($A56,'Página15'!$A$1:$O$27,COLUMN(),TRUE)</f>
        <v>0.9975867447</v>
      </c>
      <c r="K56" s="48">
        <f>VLOOKUP($A56,'Página15'!$A$1:$O$27,COLUMN(),TRUE)</f>
        <v>0.1096103826</v>
      </c>
      <c r="L56" s="48">
        <f>VLOOKUP($A56,'Página15'!$A$1:$O$27,COLUMN(),TRUE)</f>
        <v>0.9977986516</v>
      </c>
      <c r="M56" s="48">
        <f>VLOOKUP($A56,'Página15'!$A$1:$O$27,COLUMN(),TRUE)</f>
        <v>0.335401779</v>
      </c>
      <c r="N56" s="48">
        <f>VLOOKUP($A56,'Página15'!$A$1:$O$27,COLUMN(),TRUE)</f>
        <v>0.9977957675</v>
      </c>
      <c r="O56" s="48">
        <f>VLOOKUP($A56,'Página15'!$A$1:$O$27,COLUMN(),TRUE)</f>
        <v>0.1236018201</v>
      </c>
      <c r="P56" s="73">
        <f t="shared" si="5"/>
        <v>2020</v>
      </c>
      <c r="Q56" s="73">
        <f t="shared" si="6"/>
        <v>7</v>
      </c>
    </row>
    <row r="57">
      <c r="A57" s="34">
        <v>44044.0</v>
      </c>
      <c r="B57" s="48">
        <f t="shared" si="1"/>
        <v>1.265281307</v>
      </c>
      <c r="C57" s="48">
        <f t="shared" si="2"/>
        <v>1.096236114</v>
      </c>
      <c r="D57" s="48">
        <f>IF(MONTH($A57)=12,2.333,1)*VLOOKUP($A57,'Página15'!$A$1:$O$27,COLUMN(),TRUE)</f>
        <v>1</v>
      </c>
      <c r="E57" s="48">
        <f t="shared" si="3"/>
        <v>1.299660328</v>
      </c>
      <c r="F57" s="48">
        <f t="shared" si="4"/>
        <v>1.109037433</v>
      </c>
      <c r="G57" s="48">
        <f>IF(MONTH($A57)=12,2.333,1)*VLOOKUP($A57,'Página15'!$A$1:$O$27,COLUMN(),TRUE)</f>
        <v>1</v>
      </c>
      <c r="H57" s="48">
        <f>VLOOKUP($A57,'Página15'!$A$1:$O$27,COLUMN(),TRUE)</f>
        <v>0.9975896677</v>
      </c>
      <c r="I57" s="48">
        <f>VLOOKUP($A57,'Página15'!$A$1:$O$27,COLUMN(),TRUE)</f>
        <v>0.2974350805</v>
      </c>
      <c r="J57" s="48">
        <f>VLOOKUP($A57,'Página15'!$A$1:$O$27,COLUMN(),TRUE)</f>
        <v>0.9975867447</v>
      </c>
      <c r="K57" s="48">
        <f>VLOOKUP($A57,'Página15'!$A$1:$O$27,COLUMN(),TRUE)</f>
        <v>0.1096103826</v>
      </c>
      <c r="L57" s="48">
        <f>VLOOKUP($A57,'Página15'!$A$1:$O$27,COLUMN(),TRUE)</f>
        <v>0.9977986516</v>
      </c>
      <c r="M57" s="48">
        <f>VLOOKUP($A57,'Página15'!$A$1:$O$27,COLUMN(),TRUE)</f>
        <v>0.335401779</v>
      </c>
      <c r="N57" s="48">
        <f>VLOOKUP($A57,'Página15'!$A$1:$O$27,COLUMN(),TRUE)</f>
        <v>0.9977957675</v>
      </c>
      <c r="O57" s="48">
        <f>VLOOKUP($A57,'Página15'!$A$1:$O$27,COLUMN(),TRUE)</f>
        <v>0.1236018201</v>
      </c>
      <c r="P57" s="73">
        <f t="shared" si="5"/>
        <v>2020</v>
      </c>
      <c r="Q57" s="73">
        <f t="shared" si="6"/>
        <v>8</v>
      </c>
    </row>
    <row r="58">
      <c r="A58" s="34">
        <v>44075.0</v>
      </c>
      <c r="B58" s="48">
        <f t="shared" si="1"/>
        <v>1.265281307</v>
      </c>
      <c r="C58" s="48">
        <f t="shared" si="2"/>
        <v>1.096236114</v>
      </c>
      <c r="D58" s="48">
        <f>IF(MONTH($A58)=12,2.333,1)*VLOOKUP($A58,'Página15'!$A$1:$O$27,COLUMN(),TRUE)</f>
        <v>1</v>
      </c>
      <c r="E58" s="48">
        <f t="shared" si="3"/>
        <v>1.299660328</v>
      </c>
      <c r="F58" s="48">
        <f t="shared" si="4"/>
        <v>1.109037433</v>
      </c>
      <c r="G58" s="48">
        <f>IF(MONTH($A58)=12,2.333,1)*VLOOKUP($A58,'Página15'!$A$1:$O$27,COLUMN(),TRUE)</f>
        <v>1</v>
      </c>
      <c r="H58" s="48">
        <f>VLOOKUP($A58,'Página15'!$A$1:$O$27,COLUMN(),TRUE)</f>
        <v>0.9975896677</v>
      </c>
      <c r="I58" s="48">
        <f>VLOOKUP($A58,'Página15'!$A$1:$O$27,COLUMN(),TRUE)</f>
        <v>0.2974350805</v>
      </c>
      <c r="J58" s="48">
        <f>VLOOKUP($A58,'Página15'!$A$1:$O$27,COLUMN(),TRUE)</f>
        <v>0.9975867447</v>
      </c>
      <c r="K58" s="48">
        <f>VLOOKUP($A58,'Página15'!$A$1:$O$27,COLUMN(),TRUE)</f>
        <v>0.1096103826</v>
      </c>
      <c r="L58" s="48">
        <f>VLOOKUP($A58,'Página15'!$A$1:$O$27,COLUMN(),TRUE)</f>
        <v>0.9977986516</v>
      </c>
      <c r="M58" s="48">
        <f>VLOOKUP($A58,'Página15'!$A$1:$O$27,COLUMN(),TRUE)</f>
        <v>0.335401779</v>
      </c>
      <c r="N58" s="48">
        <f>VLOOKUP($A58,'Página15'!$A$1:$O$27,COLUMN(),TRUE)</f>
        <v>0.9977957675</v>
      </c>
      <c r="O58" s="48">
        <f>VLOOKUP($A58,'Página15'!$A$1:$O$27,COLUMN(),TRUE)</f>
        <v>0.1236018201</v>
      </c>
      <c r="P58" s="73">
        <f t="shared" si="5"/>
        <v>2020</v>
      </c>
      <c r="Q58" s="73">
        <f t="shared" si="6"/>
        <v>9</v>
      </c>
    </row>
    <row r="59">
      <c r="A59" s="34">
        <v>44105.0</v>
      </c>
      <c r="B59" s="48">
        <f t="shared" si="1"/>
        <v>1.265281307</v>
      </c>
      <c r="C59" s="48">
        <f t="shared" si="2"/>
        <v>1.096236114</v>
      </c>
      <c r="D59" s="48">
        <f>IF(MONTH($A59)=12,2.333,1)*VLOOKUP($A59,'Página15'!$A$1:$O$27,COLUMN(),TRUE)</f>
        <v>1</v>
      </c>
      <c r="E59" s="48">
        <f t="shared" si="3"/>
        <v>1.299660328</v>
      </c>
      <c r="F59" s="48">
        <f t="shared" si="4"/>
        <v>1.109037433</v>
      </c>
      <c r="G59" s="48">
        <f>IF(MONTH($A59)=12,2.333,1)*VLOOKUP($A59,'Página15'!$A$1:$O$27,COLUMN(),TRUE)</f>
        <v>1</v>
      </c>
      <c r="H59" s="48">
        <f>VLOOKUP($A59,'Página15'!$A$1:$O$27,COLUMN(),TRUE)</f>
        <v>0.9975896677</v>
      </c>
      <c r="I59" s="48">
        <f>VLOOKUP($A59,'Página15'!$A$1:$O$27,COLUMN(),TRUE)</f>
        <v>0.2974350805</v>
      </c>
      <c r="J59" s="48">
        <f>VLOOKUP($A59,'Página15'!$A$1:$O$27,COLUMN(),TRUE)</f>
        <v>0.9975867447</v>
      </c>
      <c r="K59" s="48">
        <f>VLOOKUP($A59,'Página15'!$A$1:$O$27,COLUMN(),TRUE)</f>
        <v>0.1096103826</v>
      </c>
      <c r="L59" s="48">
        <f>VLOOKUP($A59,'Página15'!$A$1:$O$27,COLUMN(),TRUE)</f>
        <v>0.9977986516</v>
      </c>
      <c r="M59" s="48">
        <f>VLOOKUP($A59,'Página15'!$A$1:$O$27,COLUMN(),TRUE)</f>
        <v>0.335401779</v>
      </c>
      <c r="N59" s="48">
        <f>VLOOKUP($A59,'Página15'!$A$1:$O$27,COLUMN(),TRUE)</f>
        <v>0.9977957675</v>
      </c>
      <c r="O59" s="48">
        <f>VLOOKUP($A59,'Página15'!$A$1:$O$27,COLUMN(),TRUE)</f>
        <v>0.1236018201</v>
      </c>
      <c r="P59" s="73">
        <f t="shared" si="5"/>
        <v>2020</v>
      </c>
      <c r="Q59" s="73">
        <f t="shared" si="6"/>
        <v>10</v>
      </c>
    </row>
    <row r="60">
      <c r="A60" s="34">
        <v>44136.0</v>
      </c>
      <c r="B60" s="48">
        <f t="shared" si="1"/>
        <v>1.265281307</v>
      </c>
      <c r="C60" s="48">
        <f t="shared" si="2"/>
        <v>1.096236114</v>
      </c>
      <c r="D60" s="48">
        <f>IF(MONTH($A60)=12,2.333,1)*VLOOKUP($A60,'Página15'!$A$1:$O$27,COLUMN(),TRUE)</f>
        <v>1</v>
      </c>
      <c r="E60" s="48">
        <f t="shared" si="3"/>
        <v>1.299660328</v>
      </c>
      <c r="F60" s="48">
        <f t="shared" si="4"/>
        <v>1.109037433</v>
      </c>
      <c r="G60" s="48">
        <f>IF(MONTH($A60)=12,2.333,1)*VLOOKUP($A60,'Página15'!$A$1:$O$27,COLUMN(),TRUE)</f>
        <v>1</v>
      </c>
      <c r="H60" s="48">
        <f>VLOOKUP($A60,'Página15'!$A$1:$O$27,COLUMN(),TRUE)</f>
        <v>0.9975896677</v>
      </c>
      <c r="I60" s="48">
        <f>VLOOKUP($A60,'Página15'!$A$1:$O$27,COLUMN(),TRUE)</f>
        <v>0.2974350805</v>
      </c>
      <c r="J60" s="48">
        <f>VLOOKUP($A60,'Página15'!$A$1:$O$27,COLUMN(),TRUE)</f>
        <v>0.9975867447</v>
      </c>
      <c r="K60" s="48">
        <f>VLOOKUP($A60,'Página15'!$A$1:$O$27,COLUMN(),TRUE)</f>
        <v>0.1096103826</v>
      </c>
      <c r="L60" s="48">
        <f>VLOOKUP($A60,'Página15'!$A$1:$O$27,COLUMN(),TRUE)</f>
        <v>0.9977986516</v>
      </c>
      <c r="M60" s="48">
        <f>VLOOKUP($A60,'Página15'!$A$1:$O$27,COLUMN(),TRUE)</f>
        <v>0.335401779</v>
      </c>
      <c r="N60" s="48">
        <f>VLOOKUP($A60,'Página15'!$A$1:$O$27,COLUMN(),TRUE)</f>
        <v>0.9977957675</v>
      </c>
      <c r="O60" s="48">
        <f>VLOOKUP($A60,'Página15'!$A$1:$O$27,COLUMN(),TRUE)</f>
        <v>0.1236018201</v>
      </c>
      <c r="P60" s="73">
        <f t="shared" si="5"/>
        <v>2020</v>
      </c>
      <c r="Q60" s="73">
        <f t="shared" si="6"/>
        <v>11</v>
      </c>
    </row>
    <row r="61">
      <c r="A61" s="34">
        <v>44166.0</v>
      </c>
      <c r="B61" s="48">
        <f t="shared" si="1"/>
        <v>2.951901289</v>
      </c>
      <c r="C61" s="48">
        <f t="shared" si="2"/>
        <v>2.557518853</v>
      </c>
      <c r="D61" s="48">
        <f>IF(MONTH($A61)=12,2.333,1)*VLOOKUP($A61,'Página15'!$A$1:$O$27,COLUMN(),TRUE)</f>
        <v>2.333</v>
      </c>
      <c r="E61" s="48">
        <f t="shared" si="3"/>
        <v>3.032107546</v>
      </c>
      <c r="F61" s="48">
        <f t="shared" si="4"/>
        <v>2.587384332</v>
      </c>
      <c r="G61" s="48">
        <f>IF(MONTH($A61)=12,2.333,1)*VLOOKUP($A61,'Página15'!$A$1:$O$27,COLUMN(),TRUE)</f>
        <v>2.333</v>
      </c>
      <c r="H61" s="48">
        <f>VLOOKUP($A61,'Página15'!$A$1:$O$27,COLUMN(),TRUE)</f>
        <v>0.9975896677</v>
      </c>
      <c r="I61" s="48">
        <f>VLOOKUP($A61,'Página15'!$A$1:$O$27,COLUMN(),TRUE)</f>
        <v>0.2974350805</v>
      </c>
      <c r="J61" s="48">
        <f>VLOOKUP($A61,'Página15'!$A$1:$O$27,COLUMN(),TRUE)</f>
        <v>0.9975867447</v>
      </c>
      <c r="K61" s="48">
        <f>VLOOKUP($A61,'Página15'!$A$1:$O$27,COLUMN(),TRUE)</f>
        <v>0.1096103826</v>
      </c>
      <c r="L61" s="48">
        <f>VLOOKUP($A61,'Página15'!$A$1:$O$27,COLUMN(),TRUE)</f>
        <v>0.9977986516</v>
      </c>
      <c r="M61" s="48">
        <f>VLOOKUP($A61,'Página15'!$A$1:$O$27,COLUMN(),TRUE)</f>
        <v>0.335401779</v>
      </c>
      <c r="N61" s="48">
        <f>VLOOKUP($A61,'Página15'!$A$1:$O$27,COLUMN(),TRUE)</f>
        <v>0.9977957675</v>
      </c>
      <c r="O61" s="48">
        <f>VLOOKUP($A61,'Página15'!$A$1:$O$27,COLUMN(),TRUE)</f>
        <v>0.1236018201</v>
      </c>
      <c r="P61" s="73">
        <f t="shared" si="5"/>
        <v>2020</v>
      </c>
      <c r="Q61" s="73">
        <f t="shared" si="6"/>
        <v>12</v>
      </c>
    </row>
    <row r="62">
      <c r="A62" s="34">
        <v>44197.0</v>
      </c>
      <c r="B62" s="48">
        <f t="shared" si="1"/>
        <v>1.313076926</v>
      </c>
      <c r="C62" s="48">
        <f t="shared" si="2"/>
        <v>1.096236114</v>
      </c>
      <c r="D62" s="48">
        <f>IF(MONTH($A62)=12,2.333,1)*VLOOKUP($A62,'Página15'!$A$1:$O$27,COLUMN(),TRUE)</f>
        <v>1</v>
      </c>
      <c r="E62" s="48">
        <f t="shared" si="3"/>
        <v>1.35284185</v>
      </c>
      <c r="F62" s="48">
        <f t="shared" si="4"/>
        <v>1.108817033</v>
      </c>
      <c r="G62" s="48">
        <f>IF(MONTH($A62)=12,2.333,1)*VLOOKUP($A62,'Página15'!$A$1:$O$27,COLUMN(),TRUE)</f>
        <v>1</v>
      </c>
      <c r="H62" s="48">
        <f>VLOOKUP($A62,'Página15'!$A$1:$O$27,COLUMN(),TRUE)</f>
        <v>0.9975896677</v>
      </c>
      <c r="I62" s="48">
        <f>VLOOKUP($A62,'Página15'!$A$1:$O$27,COLUMN(),TRUE)</f>
        <v>0.3505413109</v>
      </c>
      <c r="J62" s="48">
        <f>VLOOKUP($A62,'Página15'!$A$1:$O$27,COLUMN(),TRUE)</f>
        <v>0.9975867447</v>
      </c>
      <c r="K62" s="48">
        <f>VLOOKUP($A62,'Página15'!$A$1:$O$27,COLUMN(),TRUE)</f>
        <v>0.1096103826</v>
      </c>
      <c r="L62" s="48">
        <f>VLOOKUP($A62,'Página15'!$A$1:$O$27,COLUMN(),TRUE)</f>
        <v>0.9978026901</v>
      </c>
      <c r="M62" s="48">
        <f>VLOOKUP($A62,'Página15'!$A$1:$O$27,COLUMN(),TRUE)</f>
        <v>0.3944878565</v>
      </c>
      <c r="N62" s="48">
        <f>VLOOKUP($A62,'Página15'!$A$1:$O$27,COLUMN(),TRUE)</f>
        <v>0.997800223</v>
      </c>
      <c r="O62" s="48">
        <f>VLOOKUP($A62,'Página15'!$A$1:$O$27,COLUMN(),TRUE)</f>
        <v>0.1233519803</v>
      </c>
      <c r="P62" s="73">
        <f t="shared" si="5"/>
        <v>2021</v>
      </c>
      <c r="Q62" s="73">
        <f t="shared" si="6"/>
        <v>1</v>
      </c>
    </row>
    <row r="63">
      <c r="A63" s="34">
        <v>44228.0</v>
      </c>
      <c r="B63" s="48">
        <f t="shared" si="1"/>
        <v>1.313076926</v>
      </c>
      <c r="C63" s="48">
        <f t="shared" si="2"/>
        <v>1.096236114</v>
      </c>
      <c r="D63" s="48">
        <f>IF(MONTH($A63)=12,2.333,1)*VLOOKUP($A63,'Página15'!$A$1:$O$27,COLUMN(),TRUE)</f>
        <v>1</v>
      </c>
      <c r="E63" s="48">
        <f t="shared" si="3"/>
        <v>1.35284185</v>
      </c>
      <c r="F63" s="48">
        <f t="shared" si="4"/>
        <v>1.108817033</v>
      </c>
      <c r="G63" s="48">
        <f>IF(MONTH($A63)=12,2.333,1)*VLOOKUP($A63,'Página15'!$A$1:$O$27,COLUMN(),TRUE)</f>
        <v>1</v>
      </c>
      <c r="H63" s="48">
        <f>VLOOKUP($A63,'Página15'!$A$1:$O$27,COLUMN(),TRUE)</f>
        <v>0.9975896677</v>
      </c>
      <c r="I63" s="48">
        <f>VLOOKUP($A63,'Página15'!$A$1:$O$27,COLUMN(),TRUE)</f>
        <v>0.3505413109</v>
      </c>
      <c r="J63" s="48">
        <f>VLOOKUP($A63,'Página15'!$A$1:$O$27,COLUMN(),TRUE)</f>
        <v>0.9975867447</v>
      </c>
      <c r="K63" s="48">
        <f>VLOOKUP($A63,'Página15'!$A$1:$O$27,COLUMN(),TRUE)</f>
        <v>0.1096103826</v>
      </c>
      <c r="L63" s="48">
        <f>VLOOKUP($A63,'Página15'!$A$1:$O$27,COLUMN(),TRUE)</f>
        <v>0.9978026901</v>
      </c>
      <c r="M63" s="48">
        <f>VLOOKUP($A63,'Página15'!$A$1:$O$27,COLUMN(),TRUE)</f>
        <v>0.3944878565</v>
      </c>
      <c r="N63" s="48">
        <f>VLOOKUP($A63,'Página15'!$A$1:$O$27,COLUMN(),TRUE)</f>
        <v>0.997800223</v>
      </c>
      <c r="O63" s="48">
        <f>VLOOKUP($A63,'Página15'!$A$1:$O$27,COLUMN(),TRUE)</f>
        <v>0.1233519803</v>
      </c>
      <c r="P63" s="73">
        <f t="shared" si="5"/>
        <v>2021</v>
      </c>
      <c r="Q63" s="73">
        <f t="shared" si="6"/>
        <v>2</v>
      </c>
    </row>
    <row r="64">
      <c r="A64" s="34">
        <v>44256.0</v>
      </c>
      <c r="B64" s="48">
        <f t="shared" si="1"/>
        <v>1.313076926</v>
      </c>
      <c r="C64" s="48">
        <f t="shared" si="2"/>
        <v>1.096236114</v>
      </c>
      <c r="D64" s="48">
        <f>IF(MONTH($A64)=12,2.333,1)*VLOOKUP($A64,'Página15'!$A$1:$O$27,COLUMN(),TRUE)</f>
        <v>1</v>
      </c>
      <c r="E64" s="48">
        <f t="shared" si="3"/>
        <v>1.35284185</v>
      </c>
      <c r="F64" s="48">
        <f t="shared" si="4"/>
        <v>1.108817033</v>
      </c>
      <c r="G64" s="48">
        <f>IF(MONTH($A64)=12,2.333,1)*VLOOKUP($A64,'Página15'!$A$1:$O$27,COLUMN(),TRUE)</f>
        <v>1</v>
      </c>
      <c r="H64" s="48">
        <f>VLOOKUP($A64,'Página15'!$A$1:$O$27,COLUMN(),TRUE)</f>
        <v>0.9975896677</v>
      </c>
      <c r="I64" s="48">
        <f>VLOOKUP($A64,'Página15'!$A$1:$O$27,COLUMN(),TRUE)</f>
        <v>0.3505413109</v>
      </c>
      <c r="J64" s="48">
        <f>VLOOKUP($A64,'Página15'!$A$1:$O$27,COLUMN(),TRUE)</f>
        <v>0.9975867447</v>
      </c>
      <c r="K64" s="48">
        <f>VLOOKUP($A64,'Página15'!$A$1:$O$27,COLUMN(),TRUE)</f>
        <v>0.1096103826</v>
      </c>
      <c r="L64" s="48">
        <f>VLOOKUP($A64,'Página15'!$A$1:$O$27,COLUMN(),TRUE)</f>
        <v>0.9978026901</v>
      </c>
      <c r="M64" s="48">
        <f>VLOOKUP($A64,'Página15'!$A$1:$O$27,COLUMN(),TRUE)</f>
        <v>0.3944878565</v>
      </c>
      <c r="N64" s="48">
        <f>VLOOKUP($A64,'Página15'!$A$1:$O$27,COLUMN(),TRUE)</f>
        <v>0.997800223</v>
      </c>
      <c r="O64" s="48">
        <f>VLOOKUP($A64,'Página15'!$A$1:$O$27,COLUMN(),TRUE)</f>
        <v>0.1233519803</v>
      </c>
      <c r="P64" s="73">
        <f t="shared" si="5"/>
        <v>2021</v>
      </c>
      <c r="Q64" s="73">
        <f t="shared" si="6"/>
        <v>3</v>
      </c>
    </row>
    <row r="65">
      <c r="A65" s="34">
        <v>44287.0</v>
      </c>
      <c r="B65" s="48">
        <f t="shared" si="1"/>
        <v>1.313076926</v>
      </c>
      <c r="C65" s="48">
        <f t="shared" si="2"/>
        <v>1.096236114</v>
      </c>
      <c r="D65" s="48">
        <f>IF(MONTH($A65)=12,2.333,1)*VLOOKUP($A65,'Página15'!$A$1:$O$27,COLUMN(),TRUE)</f>
        <v>1</v>
      </c>
      <c r="E65" s="48">
        <f t="shared" si="3"/>
        <v>1.35284185</v>
      </c>
      <c r="F65" s="48">
        <f t="shared" si="4"/>
        <v>1.108817033</v>
      </c>
      <c r="G65" s="48">
        <f>IF(MONTH($A65)=12,2.333,1)*VLOOKUP($A65,'Página15'!$A$1:$O$27,COLUMN(),TRUE)</f>
        <v>1</v>
      </c>
      <c r="H65" s="48">
        <f>VLOOKUP($A65,'Página15'!$A$1:$O$27,COLUMN(),TRUE)</f>
        <v>0.9975896677</v>
      </c>
      <c r="I65" s="48">
        <f>VLOOKUP($A65,'Página15'!$A$1:$O$27,COLUMN(),TRUE)</f>
        <v>0.3505413109</v>
      </c>
      <c r="J65" s="48">
        <f>VLOOKUP($A65,'Página15'!$A$1:$O$27,COLUMN(),TRUE)</f>
        <v>0.9975867447</v>
      </c>
      <c r="K65" s="48">
        <f>VLOOKUP($A65,'Página15'!$A$1:$O$27,COLUMN(),TRUE)</f>
        <v>0.1096103826</v>
      </c>
      <c r="L65" s="48">
        <f>VLOOKUP($A65,'Página15'!$A$1:$O$27,COLUMN(),TRUE)</f>
        <v>0.9978026901</v>
      </c>
      <c r="M65" s="48">
        <f>VLOOKUP($A65,'Página15'!$A$1:$O$27,COLUMN(),TRUE)</f>
        <v>0.3944878565</v>
      </c>
      <c r="N65" s="48">
        <f>VLOOKUP($A65,'Página15'!$A$1:$O$27,COLUMN(),TRUE)</f>
        <v>0.997800223</v>
      </c>
      <c r="O65" s="48">
        <f>VLOOKUP($A65,'Página15'!$A$1:$O$27,COLUMN(),TRUE)</f>
        <v>0.1233519803</v>
      </c>
      <c r="P65" s="73">
        <f t="shared" si="5"/>
        <v>2021</v>
      </c>
      <c r="Q65" s="73">
        <f t="shared" si="6"/>
        <v>4</v>
      </c>
    </row>
    <row r="66">
      <c r="A66" s="34">
        <v>44317.0</v>
      </c>
      <c r="B66" s="48">
        <f t="shared" si="1"/>
        <v>1.313076926</v>
      </c>
      <c r="C66" s="48">
        <f t="shared" si="2"/>
        <v>1.096236114</v>
      </c>
      <c r="D66" s="48">
        <f>IF(MONTH($A66)=12,2.333,1)*VLOOKUP($A66,'Página15'!$A$1:$O$27,COLUMN(),TRUE)</f>
        <v>1</v>
      </c>
      <c r="E66" s="48">
        <f t="shared" si="3"/>
        <v>1.35284185</v>
      </c>
      <c r="F66" s="48">
        <f t="shared" si="4"/>
        <v>1.108817033</v>
      </c>
      <c r="G66" s="48">
        <f>IF(MONTH($A66)=12,2.333,1)*VLOOKUP($A66,'Página15'!$A$1:$O$27,COLUMN(),TRUE)</f>
        <v>1</v>
      </c>
      <c r="H66" s="48">
        <f>VLOOKUP($A66,'Página15'!$A$1:$O$27,COLUMN(),TRUE)</f>
        <v>0.9975896677</v>
      </c>
      <c r="I66" s="48">
        <f>VLOOKUP($A66,'Página15'!$A$1:$O$27,COLUMN(),TRUE)</f>
        <v>0.3505413109</v>
      </c>
      <c r="J66" s="48">
        <f>VLOOKUP($A66,'Página15'!$A$1:$O$27,COLUMN(),TRUE)</f>
        <v>0.9975867447</v>
      </c>
      <c r="K66" s="48">
        <f>VLOOKUP($A66,'Página15'!$A$1:$O$27,COLUMN(),TRUE)</f>
        <v>0.1096103826</v>
      </c>
      <c r="L66" s="48">
        <f>VLOOKUP($A66,'Página15'!$A$1:$O$27,COLUMN(),TRUE)</f>
        <v>0.9978026901</v>
      </c>
      <c r="M66" s="48">
        <f>VLOOKUP($A66,'Página15'!$A$1:$O$27,COLUMN(),TRUE)</f>
        <v>0.3944878565</v>
      </c>
      <c r="N66" s="48">
        <f>VLOOKUP($A66,'Página15'!$A$1:$O$27,COLUMN(),TRUE)</f>
        <v>0.997800223</v>
      </c>
      <c r="O66" s="48">
        <f>VLOOKUP($A66,'Página15'!$A$1:$O$27,COLUMN(),TRUE)</f>
        <v>0.1233519803</v>
      </c>
      <c r="P66" s="73">
        <f t="shared" si="5"/>
        <v>2021</v>
      </c>
      <c r="Q66" s="73">
        <f t="shared" si="6"/>
        <v>5</v>
      </c>
    </row>
    <row r="67">
      <c r="A67" s="34">
        <v>44348.0</v>
      </c>
      <c r="B67" s="48">
        <f t="shared" si="1"/>
        <v>1.313076926</v>
      </c>
      <c r="C67" s="48">
        <f t="shared" si="2"/>
        <v>1.096236114</v>
      </c>
      <c r="D67" s="48">
        <f>IF(MONTH($A67)=12,2.333,1)*VLOOKUP($A67,'Página15'!$A$1:$O$27,COLUMN(),TRUE)</f>
        <v>1</v>
      </c>
      <c r="E67" s="48">
        <f t="shared" si="3"/>
        <v>1.35284185</v>
      </c>
      <c r="F67" s="48">
        <f t="shared" si="4"/>
        <v>1.108817033</v>
      </c>
      <c r="G67" s="48">
        <f>IF(MONTH($A67)=12,2.333,1)*VLOOKUP($A67,'Página15'!$A$1:$O$27,COLUMN(),TRUE)</f>
        <v>1</v>
      </c>
      <c r="H67" s="48">
        <f>VLOOKUP($A67,'Página15'!$A$1:$O$27,COLUMN(),TRUE)</f>
        <v>0.9975896677</v>
      </c>
      <c r="I67" s="48">
        <f>VLOOKUP($A67,'Página15'!$A$1:$O$27,COLUMN(),TRUE)</f>
        <v>0.3505413109</v>
      </c>
      <c r="J67" s="48">
        <f>VLOOKUP($A67,'Página15'!$A$1:$O$27,COLUMN(),TRUE)</f>
        <v>0.9975867447</v>
      </c>
      <c r="K67" s="48">
        <f>VLOOKUP($A67,'Página15'!$A$1:$O$27,COLUMN(),TRUE)</f>
        <v>0.1096103826</v>
      </c>
      <c r="L67" s="48">
        <f>VLOOKUP($A67,'Página15'!$A$1:$O$27,COLUMN(),TRUE)</f>
        <v>0.9978026901</v>
      </c>
      <c r="M67" s="48">
        <f>VLOOKUP($A67,'Página15'!$A$1:$O$27,COLUMN(),TRUE)</f>
        <v>0.3944878565</v>
      </c>
      <c r="N67" s="48">
        <f>VLOOKUP($A67,'Página15'!$A$1:$O$27,COLUMN(),TRUE)</f>
        <v>0.997800223</v>
      </c>
      <c r="O67" s="48">
        <f>VLOOKUP($A67,'Página15'!$A$1:$O$27,COLUMN(),TRUE)</f>
        <v>0.1233519803</v>
      </c>
      <c r="P67" s="73">
        <f t="shared" si="5"/>
        <v>2021</v>
      </c>
      <c r="Q67" s="73">
        <f t="shared" si="6"/>
        <v>6</v>
      </c>
    </row>
    <row r="68">
      <c r="A68" s="34">
        <v>44378.0</v>
      </c>
      <c r="B68" s="48">
        <f t="shared" si="1"/>
        <v>1.313076926</v>
      </c>
      <c r="C68" s="48">
        <f t="shared" si="2"/>
        <v>1.096236114</v>
      </c>
      <c r="D68" s="48">
        <f>IF(MONTH($A68)=12,2.333,1)*VLOOKUP($A68,'Página15'!$A$1:$O$27,COLUMN(),TRUE)</f>
        <v>1</v>
      </c>
      <c r="E68" s="48">
        <f t="shared" si="3"/>
        <v>1.35284185</v>
      </c>
      <c r="F68" s="48">
        <f t="shared" si="4"/>
        <v>1.108817033</v>
      </c>
      <c r="G68" s="48">
        <f>IF(MONTH($A68)=12,2.333,1)*VLOOKUP($A68,'Página15'!$A$1:$O$27,COLUMN(),TRUE)</f>
        <v>1</v>
      </c>
      <c r="H68" s="48">
        <f>VLOOKUP($A68,'Página15'!$A$1:$O$27,COLUMN(),TRUE)</f>
        <v>0.9975896677</v>
      </c>
      <c r="I68" s="48">
        <f>VLOOKUP($A68,'Página15'!$A$1:$O$27,COLUMN(),TRUE)</f>
        <v>0.3505413109</v>
      </c>
      <c r="J68" s="48">
        <f>VLOOKUP($A68,'Página15'!$A$1:$O$27,COLUMN(),TRUE)</f>
        <v>0.9975867447</v>
      </c>
      <c r="K68" s="48">
        <f>VLOOKUP($A68,'Página15'!$A$1:$O$27,COLUMN(),TRUE)</f>
        <v>0.1096103826</v>
      </c>
      <c r="L68" s="48">
        <f>VLOOKUP($A68,'Página15'!$A$1:$O$27,COLUMN(),TRUE)</f>
        <v>0.9978026901</v>
      </c>
      <c r="M68" s="48">
        <f>VLOOKUP($A68,'Página15'!$A$1:$O$27,COLUMN(),TRUE)</f>
        <v>0.3944878565</v>
      </c>
      <c r="N68" s="48">
        <f>VLOOKUP($A68,'Página15'!$A$1:$O$27,COLUMN(),TRUE)</f>
        <v>0.997800223</v>
      </c>
      <c r="O68" s="48">
        <f>VLOOKUP($A68,'Página15'!$A$1:$O$27,COLUMN(),TRUE)</f>
        <v>0.1233519803</v>
      </c>
      <c r="P68" s="73">
        <f t="shared" si="5"/>
        <v>2021</v>
      </c>
      <c r="Q68" s="73">
        <f t="shared" si="6"/>
        <v>7</v>
      </c>
    </row>
    <row r="69">
      <c r="A69" s="34">
        <v>44409.0</v>
      </c>
      <c r="B69" s="48">
        <f t="shared" si="1"/>
        <v>1.313076926</v>
      </c>
      <c r="C69" s="48">
        <f t="shared" si="2"/>
        <v>1.096236114</v>
      </c>
      <c r="D69" s="48">
        <f>IF(MONTH($A69)=12,2.333,1)*VLOOKUP($A69,'Página15'!$A$1:$O$27,COLUMN(),TRUE)</f>
        <v>1</v>
      </c>
      <c r="E69" s="48">
        <f t="shared" si="3"/>
        <v>1.35284185</v>
      </c>
      <c r="F69" s="48">
        <f t="shared" si="4"/>
        <v>1.108817033</v>
      </c>
      <c r="G69" s="48">
        <f>IF(MONTH($A69)=12,2.333,1)*VLOOKUP($A69,'Página15'!$A$1:$O$27,COLUMN(),TRUE)</f>
        <v>1</v>
      </c>
      <c r="H69" s="48">
        <f>VLOOKUP($A69,'Página15'!$A$1:$O$27,COLUMN(),TRUE)</f>
        <v>0.9975896677</v>
      </c>
      <c r="I69" s="48">
        <f>VLOOKUP($A69,'Página15'!$A$1:$O$27,COLUMN(),TRUE)</f>
        <v>0.3505413109</v>
      </c>
      <c r="J69" s="48">
        <f>VLOOKUP($A69,'Página15'!$A$1:$O$27,COLUMN(),TRUE)</f>
        <v>0.9975867447</v>
      </c>
      <c r="K69" s="48">
        <f>VLOOKUP($A69,'Página15'!$A$1:$O$27,COLUMN(),TRUE)</f>
        <v>0.1096103826</v>
      </c>
      <c r="L69" s="48">
        <f>VLOOKUP($A69,'Página15'!$A$1:$O$27,COLUMN(),TRUE)</f>
        <v>0.9978026901</v>
      </c>
      <c r="M69" s="48">
        <f>VLOOKUP($A69,'Página15'!$A$1:$O$27,COLUMN(),TRUE)</f>
        <v>0.3944878565</v>
      </c>
      <c r="N69" s="48">
        <f>VLOOKUP($A69,'Página15'!$A$1:$O$27,COLUMN(),TRUE)</f>
        <v>0.997800223</v>
      </c>
      <c r="O69" s="48">
        <f>VLOOKUP($A69,'Página15'!$A$1:$O$27,COLUMN(),TRUE)</f>
        <v>0.1233519803</v>
      </c>
      <c r="P69" s="73">
        <f t="shared" si="5"/>
        <v>2021</v>
      </c>
      <c r="Q69" s="73">
        <f t="shared" si="6"/>
        <v>8</v>
      </c>
    </row>
    <row r="70">
      <c r="A70" s="34">
        <v>44440.0</v>
      </c>
      <c r="B70" s="48">
        <f t="shared" si="1"/>
        <v>1.313076926</v>
      </c>
      <c r="C70" s="48">
        <f t="shared" si="2"/>
        <v>1.096236114</v>
      </c>
      <c r="D70" s="48">
        <f>IF(MONTH($A70)=12,2.333,1)*VLOOKUP($A70,'Página15'!$A$1:$O$27,COLUMN(),TRUE)</f>
        <v>1</v>
      </c>
      <c r="E70" s="48">
        <f t="shared" si="3"/>
        <v>1.35284185</v>
      </c>
      <c r="F70" s="48">
        <f t="shared" si="4"/>
        <v>1.108817033</v>
      </c>
      <c r="G70" s="48">
        <f>IF(MONTH($A70)=12,2.333,1)*VLOOKUP($A70,'Página15'!$A$1:$O$27,COLUMN(),TRUE)</f>
        <v>1</v>
      </c>
      <c r="H70" s="48">
        <f>VLOOKUP($A70,'Página15'!$A$1:$O$27,COLUMN(),TRUE)</f>
        <v>0.9975896677</v>
      </c>
      <c r="I70" s="48">
        <f>VLOOKUP($A70,'Página15'!$A$1:$O$27,COLUMN(),TRUE)</f>
        <v>0.3505413109</v>
      </c>
      <c r="J70" s="48">
        <f>VLOOKUP($A70,'Página15'!$A$1:$O$27,COLUMN(),TRUE)</f>
        <v>0.9975867447</v>
      </c>
      <c r="K70" s="48">
        <f>VLOOKUP($A70,'Página15'!$A$1:$O$27,COLUMN(),TRUE)</f>
        <v>0.1096103826</v>
      </c>
      <c r="L70" s="48">
        <f>VLOOKUP($A70,'Página15'!$A$1:$O$27,COLUMN(),TRUE)</f>
        <v>0.9978026901</v>
      </c>
      <c r="M70" s="48">
        <f>VLOOKUP($A70,'Página15'!$A$1:$O$27,COLUMN(),TRUE)</f>
        <v>0.3944878565</v>
      </c>
      <c r="N70" s="48">
        <f>VLOOKUP($A70,'Página15'!$A$1:$O$27,COLUMN(),TRUE)</f>
        <v>0.997800223</v>
      </c>
      <c r="O70" s="48">
        <f>VLOOKUP($A70,'Página15'!$A$1:$O$27,COLUMN(),TRUE)</f>
        <v>0.1233519803</v>
      </c>
      <c r="P70" s="73">
        <f t="shared" si="5"/>
        <v>2021</v>
      </c>
      <c r="Q70" s="73">
        <f t="shared" si="6"/>
        <v>9</v>
      </c>
    </row>
    <row r="71">
      <c r="A71" s="34">
        <v>44470.0</v>
      </c>
      <c r="B71" s="48">
        <f t="shared" si="1"/>
        <v>1.313076926</v>
      </c>
      <c r="C71" s="48">
        <f t="shared" si="2"/>
        <v>1.096236114</v>
      </c>
      <c r="D71" s="48">
        <f>IF(MONTH($A71)=12,2.333,1)*VLOOKUP($A71,'Página15'!$A$1:$O$27,COLUMN(),TRUE)</f>
        <v>1</v>
      </c>
      <c r="E71" s="48">
        <f t="shared" si="3"/>
        <v>1.35284185</v>
      </c>
      <c r="F71" s="48">
        <f t="shared" si="4"/>
        <v>1.108817033</v>
      </c>
      <c r="G71" s="48">
        <f>IF(MONTH($A71)=12,2.333,1)*VLOOKUP($A71,'Página15'!$A$1:$O$27,COLUMN(),TRUE)</f>
        <v>1</v>
      </c>
      <c r="H71" s="48">
        <f>VLOOKUP($A71,'Página15'!$A$1:$O$27,COLUMN(),TRUE)</f>
        <v>0.9975896677</v>
      </c>
      <c r="I71" s="48">
        <f>VLOOKUP($A71,'Página15'!$A$1:$O$27,COLUMN(),TRUE)</f>
        <v>0.3505413109</v>
      </c>
      <c r="J71" s="48">
        <f>VLOOKUP($A71,'Página15'!$A$1:$O$27,COLUMN(),TRUE)</f>
        <v>0.9975867447</v>
      </c>
      <c r="K71" s="48">
        <f>VLOOKUP($A71,'Página15'!$A$1:$O$27,COLUMN(),TRUE)</f>
        <v>0.1096103826</v>
      </c>
      <c r="L71" s="48">
        <f>VLOOKUP($A71,'Página15'!$A$1:$O$27,COLUMN(),TRUE)</f>
        <v>0.9978026901</v>
      </c>
      <c r="M71" s="48">
        <f>VLOOKUP($A71,'Página15'!$A$1:$O$27,COLUMN(),TRUE)</f>
        <v>0.3944878565</v>
      </c>
      <c r="N71" s="48">
        <f>VLOOKUP($A71,'Página15'!$A$1:$O$27,COLUMN(),TRUE)</f>
        <v>0.997800223</v>
      </c>
      <c r="O71" s="48">
        <f>VLOOKUP($A71,'Página15'!$A$1:$O$27,COLUMN(),TRUE)</f>
        <v>0.1233519803</v>
      </c>
      <c r="P71" s="73">
        <f t="shared" si="5"/>
        <v>2021</v>
      </c>
      <c r="Q71" s="73">
        <f t="shared" si="6"/>
        <v>10</v>
      </c>
    </row>
    <row r="72">
      <c r="A72" s="34">
        <v>44501.0</v>
      </c>
      <c r="B72" s="48">
        <f t="shared" si="1"/>
        <v>1.313076926</v>
      </c>
      <c r="C72" s="48">
        <f t="shared" si="2"/>
        <v>1.096236114</v>
      </c>
      <c r="D72" s="48">
        <f>IF(MONTH($A72)=12,2.333,1)*VLOOKUP($A72,'Página15'!$A$1:$O$27,COLUMN(),TRUE)</f>
        <v>1</v>
      </c>
      <c r="E72" s="48">
        <f t="shared" si="3"/>
        <v>1.35284185</v>
      </c>
      <c r="F72" s="48">
        <f t="shared" si="4"/>
        <v>1.108817033</v>
      </c>
      <c r="G72" s="48">
        <f>IF(MONTH($A72)=12,2.333,1)*VLOOKUP($A72,'Página15'!$A$1:$O$27,COLUMN(),TRUE)</f>
        <v>1</v>
      </c>
      <c r="H72" s="48">
        <f>VLOOKUP($A72,'Página15'!$A$1:$O$27,COLUMN(),TRUE)</f>
        <v>0.9975896677</v>
      </c>
      <c r="I72" s="48">
        <f>VLOOKUP($A72,'Página15'!$A$1:$O$27,COLUMN(),TRUE)</f>
        <v>0.3505413109</v>
      </c>
      <c r="J72" s="48">
        <f>VLOOKUP($A72,'Página15'!$A$1:$O$27,COLUMN(),TRUE)</f>
        <v>0.9975867447</v>
      </c>
      <c r="K72" s="48">
        <f>VLOOKUP($A72,'Página15'!$A$1:$O$27,COLUMN(),TRUE)</f>
        <v>0.1096103826</v>
      </c>
      <c r="L72" s="48">
        <f>VLOOKUP($A72,'Página15'!$A$1:$O$27,COLUMN(),TRUE)</f>
        <v>0.9978026901</v>
      </c>
      <c r="M72" s="48">
        <f>VLOOKUP($A72,'Página15'!$A$1:$O$27,COLUMN(),TRUE)</f>
        <v>0.3944878565</v>
      </c>
      <c r="N72" s="48">
        <f>VLOOKUP($A72,'Página15'!$A$1:$O$27,COLUMN(),TRUE)</f>
        <v>0.997800223</v>
      </c>
      <c r="O72" s="48">
        <f>VLOOKUP($A72,'Página15'!$A$1:$O$27,COLUMN(),TRUE)</f>
        <v>0.1233519803</v>
      </c>
      <c r="P72" s="73">
        <f t="shared" si="5"/>
        <v>2021</v>
      </c>
      <c r="Q72" s="73">
        <f t="shared" si="6"/>
        <v>11</v>
      </c>
    </row>
    <row r="73">
      <c r="A73" s="34">
        <v>44531.0</v>
      </c>
      <c r="B73" s="48">
        <f t="shared" si="1"/>
        <v>3.063408469</v>
      </c>
      <c r="C73" s="48">
        <f t="shared" si="2"/>
        <v>2.557518853</v>
      </c>
      <c r="D73" s="48">
        <f>IF(MONTH($A73)=12,2.333,1)*VLOOKUP($A73,'Página15'!$A$1:$O$27,COLUMN(),TRUE)</f>
        <v>2.333</v>
      </c>
      <c r="E73" s="48">
        <f t="shared" si="3"/>
        <v>3.156180035</v>
      </c>
      <c r="F73" s="48">
        <f t="shared" si="4"/>
        <v>2.586870138</v>
      </c>
      <c r="G73" s="48">
        <f>IF(MONTH($A73)=12,2.333,1)*VLOOKUP($A73,'Página15'!$A$1:$O$27,COLUMN(),TRUE)</f>
        <v>2.333</v>
      </c>
      <c r="H73" s="48">
        <f>VLOOKUP($A73,'Página15'!$A$1:$O$27,COLUMN(),TRUE)</f>
        <v>0.9975896677</v>
      </c>
      <c r="I73" s="48">
        <f>VLOOKUP($A73,'Página15'!$A$1:$O$27,COLUMN(),TRUE)</f>
        <v>0.3505413109</v>
      </c>
      <c r="J73" s="48">
        <f>VLOOKUP($A73,'Página15'!$A$1:$O$27,COLUMN(),TRUE)</f>
        <v>0.9975867447</v>
      </c>
      <c r="K73" s="48">
        <f>VLOOKUP($A73,'Página15'!$A$1:$O$27,COLUMN(),TRUE)</f>
        <v>0.1096103826</v>
      </c>
      <c r="L73" s="48">
        <f>VLOOKUP($A73,'Página15'!$A$1:$O$27,COLUMN(),TRUE)</f>
        <v>0.9978026901</v>
      </c>
      <c r="M73" s="48">
        <f>VLOOKUP($A73,'Página15'!$A$1:$O$27,COLUMN(),TRUE)</f>
        <v>0.3944878565</v>
      </c>
      <c r="N73" s="48">
        <f>VLOOKUP($A73,'Página15'!$A$1:$O$27,COLUMN(),TRUE)</f>
        <v>0.997800223</v>
      </c>
      <c r="O73" s="48">
        <f>VLOOKUP($A73,'Página15'!$A$1:$O$27,COLUMN(),TRUE)</f>
        <v>0.1233519803</v>
      </c>
      <c r="P73" s="73">
        <f t="shared" si="5"/>
        <v>2021</v>
      </c>
      <c r="Q73" s="73">
        <f t="shared" si="6"/>
        <v>12</v>
      </c>
    </row>
    <row r="74">
      <c r="A74" s="34">
        <v>44562.0</v>
      </c>
      <c r="B74" s="48">
        <f t="shared" ref="B74:B145" si="7">IF(MONTH($A74)=12,2.333,1)*(H74+(I74/13.33333)*13)</f>
        <v>1.418893528</v>
      </c>
      <c r="C74" s="48">
        <f t="shared" si="2"/>
        <v>1.096236114</v>
      </c>
      <c r="D74" s="48">
        <f>IF(MONTH($A74)=12,2.333,1)*VLOOKUP($A74,'Página15'!$A$1:$O$27,COLUMN(),TRUE)</f>
        <v>1</v>
      </c>
      <c r="E74" s="48">
        <f t="shared" ref="E74:E145" si="8">IF(MONTH($A74)=12,2.333,1)*(L74+(M74/13.33333)*13)</f>
        <v>1.470055302</v>
      </c>
      <c r="F74" s="48">
        <f t="shared" si="4"/>
        <v>1.108385952</v>
      </c>
      <c r="G74" s="48">
        <f>IF(MONTH($A74)=12,2.333,1)*VLOOKUP($A74,'Página15'!$A$1:$O$27,COLUMN(),TRUE)</f>
        <v>1</v>
      </c>
      <c r="H74" s="48">
        <f>VLOOKUP($A74,'Página15'!$A$1:$O$27,COLUMN(),TRUE)</f>
        <v>0.9975896677</v>
      </c>
      <c r="I74" s="48">
        <f>VLOOKUP($A74,'Página15'!$A$1:$O$27,COLUMN(),TRUE)</f>
        <v>0.4321064156</v>
      </c>
      <c r="J74" s="48">
        <f>VLOOKUP($A74,'Página15'!$A$1:$O$27,COLUMN(),TRUE)</f>
        <v>0.9975867447</v>
      </c>
      <c r="K74" s="48">
        <f>VLOOKUP($A74,'Página15'!$A$1:$O$27,COLUMN(),TRUE)</f>
        <v>0.1096103826</v>
      </c>
      <c r="L74" s="48">
        <f>VLOOKUP($A74,'Página15'!$A$1:$O$27,COLUMN(),TRUE)</f>
        <v>0.9978118043</v>
      </c>
      <c r="M74" s="48">
        <f>VLOOKUP($A74,'Página15'!$A$1:$O$27,COLUMN(),TRUE)</f>
        <v>0.4843521842</v>
      </c>
      <c r="N74" s="48">
        <f>VLOOKUP($A74,'Página15'!$A$1:$O$27,COLUMN(),TRUE)</f>
        <v>0.9978089375</v>
      </c>
      <c r="O74" s="48">
        <f>VLOOKUP($A74,'Página15'!$A$1:$O$27,COLUMN(),TRUE)</f>
        <v>0.1228633186</v>
      </c>
      <c r="P74" s="73">
        <f t="shared" si="5"/>
        <v>2022</v>
      </c>
      <c r="Q74" s="73">
        <f t="shared" si="6"/>
        <v>1</v>
      </c>
    </row>
    <row r="75">
      <c r="A75" s="34">
        <v>44593.0</v>
      </c>
      <c r="B75" s="48">
        <f t="shared" si="7"/>
        <v>1.418893528</v>
      </c>
      <c r="C75" s="48">
        <f t="shared" si="2"/>
        <v>1.096236114</v>
      </c>
      <c r="D75" s="48">
        <f>IF(MONTH($A75)=12,2.333,1)*VLOOKUP($A75,'Página15'!$A$1:$O$27,COLUMN(),TRUE)</f>
        <v>1</v>
      </c>
      <c r="E75" s="48">
        <f t="shared" si="8"/>
        <v>1.470055302</v>
      </c>
      <c r="F75" s="48">
        <f t="shared" si="4"/>
        <v>1.108385952</v>
      </c>
      <c r="G75" s="48">
        <f>IF(MONTH($A75)=12,2.333,1)*VLOOKUP($A75,'Página15'!$A$1:$O$27,COLUMN(),TRUE)</f>
        <v>1</v>
      </c>
      <c r="H75" s="48">
        <f>VLOOKUP($A75,'Página15'!$A$1:$O$27,COLUMN(),TRUE)</f>
        <v>0.9975896677</v>
      </c>
      <c r="I75" s="48">
        <f>VLOOKUP($A75,'Página15'!$A$1:$O$27,COLUMN(),TRUE)</f>
        <v>0.4321064156</v>
      </c>
      <c r="J75" s="48">
        <f>VLOOKUP($A75,'Página15'!$A$1:$O$27,COLUMN(),TRUE)</f>
        <v>0.9975867447</v>
      </c>
      <c r="K75" s="48">
        <f>VLOOKUP($A75,'Página15'!$A$1:$O$27,COLUMN(),TRUE)</f>
        <v>0.1096103826</v>
      </c>
      <c r="L75" s="48">
        <f>VLOOKUP($A75,'Página15'!$A$1:$O$27,COLUMN(),TRUE)</f>
        <v>0.9978118043</v>
      </c>
      <c r="M75" s="48">
        <f>VLOOKUP($A75,'Página15'!$A$1:$O$27,COLUMN(),TRUE)</f>
        <v>0.4843521842</v>
      </c>
      <c r="N75" s="48">
        <f>VLOOKUP($A75,'Página15'!$A$1:$O$27,COLUMN(),TRUE)</f>
        <v>0.9978089375</v>
      </c>
      <c r="O75" s="48">
        <f>VLOOKUP($A75,'Página15'!$A$1:$O$27,COLUMN(),TRUE)</f>
        <v>0.1228633186</v>
      </c>
      <c r="P75" s="73">
        <f t="shared" si="5"/>
        <v>2022</v>
      </c>
      <c r="Q75" s="73">
        <f t="shared" si="6"/>
        <v>2</v>
      </c>
    </row>
    <row r="76">
      <c r="A76" s="34">
        <v>44621.0</v>
      </c>
      <c r="B76" s="48">
        <f t="shared" si="7"/>
        <v>1.418893528</v>
      </c>
      <c r="C76" s="48">
        <f t="shared" si="2"/>
        <v>1.096236114</v>
      </c>
      <c r="D76" s="48">
        <f>IF(MONTH($A76)=12,2.333,1)*VLOOKUP($A76,'Página15'!$A$1:$O$27,COLUMN(),TRUE)</f>
        <v>1</v>
      </c>
      <c r="E76" s="48">
        <f t="shared" si="8"/>
        <v>1.470055302</v>
      </c>
      <c r="F76" s="48">
        <f t="shared" si="4"/>
        <v>1.108385952</v>
      </c>
      <c r="G76" s="48">
        <f>IF(MONTH($A76)=12,2.333,1)*VLOOKUP($A76,'Página15'!$A$1:$O$27,COLUMN(),TRUE)</f>
        <v>1</v>
      </c>
      <c r="H76" s="48">
        <f>VLOOKUP($A76,'Página15'!$A$1:$O$27,COLUMN(),TRUE)</f>
        <v>0.9975896677</v>
      </c>
      <c r="I76" s="48">
        <f>VLOOKUP($A76,'Página15'!$A$1:$O$27,COLUMN(),TRUE)</f>
        <v>0.4321064156</v>
      </c>
      <c r="J76" s="48">
        <f>VLOOKUP($A76,'Página15'!$A$1:$O$27,COLUMN(),TRUE)</f>
        <v>0.9975867447</v>
      </c>
      <c r="K76" s="48">
        <f>VLOOKUP($A76,'Página15'!$A$1:$O$27,COLUMN(),TRUE)</f>
        <v>0.1096103826</v>
      </c>
      <c r="L76" s="48">
        <f>VLOOKUP($A76,'Página15'!$A$1:$O$27,COLUMN(),TRUE)</f>
        <v>0.9978118043</v>
      </c>
      <c r="M76" s="48">
        <f>VLOOKUP($A76,'Página15'!$A$1:$O$27,COLUMN(),TRUE)</f>
        <v>0.4843521842</v>
      </c>
      <c r="N76" s="48">
        <f>VLOOKUP($A76,'Página15'!$A$1:$O$27,COLUMN(),TRUE)</f>
        <v>0.9978089375</v>
      </c>
      <c r="O76" s="48">
        <f>VLOOKUP($A76,'Página15'!$A$1:$O$27,COLUMN(),TRUE)</f>
        <v>0.1228633186</v>
      </c>
      <c r="P76" s="73">
        <f t="shared" si="5"/>
        <v>2022</v>
      </c>
      <c r="Q76" s="73">
        <f t="shared" si="6"/>
        <v>3</v>
      </c>
    </row>
    <row r="77">
      <c r="A77" s="34">
        <v>44652.0</v>
      </c>
      <c r="B77" s="48">
        <f t="shared" si="7"/>
        <v>1.418893528</v>
      </c>
      <c r="C77" s="48">
        <f t="shared" si="2"/>
        <v>1.096236114</v>
      </c>
      <c r="D77" s="48">
        <f>IF(MONTH($A77)=12,2.333,1)*VLOOKUP($A77,'Página15'!$A$1:$O$27,COLUMN(),TRUE)</f>
        <v>1</v>
      </c>
      <c r="E77" s="48">
        <f t="shared" si="8"/>
        <v>1.470055302</v>
      </c>
      <c r="F77" s="48">
        <f t="shared" si="4"/>
        <v>1.108385952</v>
      </c>
      <c r="G77" s="48">
        <f>IF(MONTH($A77)=12,2.333,1)*VLOOKUP($A77,'Página15'!$A$1:$O$27,COLUMN(),TRUE)</f>
        <v>1</v>
      </c>
      <c r="H77" s="48">
        <f>VLOOKUP($A77,'Página15'!$A$1:$O$27,COLUMN(),TRUE)</f>
        <v>0.9975896677</v>
      </c>
      <c r="I77" s="48">
        <f>VLOOKUP($A77,'Página15'!$A$1:$O$27,COLUMN(),TRUE)</f>
        <v>0.4321064156</v>
      </c>
      <c r="J77" s="48">
        <f>VLOOKUP($A77,'Página15'!$A$1:$O$27,COLUMN(),TRUE)</f>
        <v>0.9975867447</v>
      </c>
      <c r="K77" s="48">
        <f>VLOOKUP($A77,'Página15'!$A$1:$O$27,COLUMN(),TRUE)</f>
        <v>0.1096103826</v>
      </c>
      <c r="L77" s="48">
        <f>VLOOKUP($A77,'Página15'!$A$1:$O$27,COLUMN(),TRUE)</f>
        <v>0.9978118043</v>
      </c>
      <c r="M77" s="48">
        <f>VLOOKUP($A77,'Página15'!$A$1:$O$27,COLUMN(),TRUE)</f>
        <v>0.4843521842</v>
      </c>
      <c r="N77" s="48">
        <f>VLOOKUP($A77,'Página15'!$A$1:$O$27,COLUMN(),TRUE)</f>
        <v>0.9978089375</v>
      </c>
      <c r="O77" s="48">
        <f>VLOOKUP($A77,'Página15'!$A$1:$O$27,COLUMN(),TRUE)</f>
        <v>0.1228633186</v>
      </c>
      <c r="P77" s="73">
        <f t="shared" si="5"/>
        <v>2022</v>
      </c>
      <c r="Q77" s="73">
        <f t="shared" si="6"/>
        <v>4</v>
      </c>
    </row>
    <row r="78">
      <c r="A78" s="34">
        <v>44682.0</v>
      </c>
      <c r="B78" s="48">
        <f t="shared" si="7"/>
        <v>1.418893528</v>
      </c>
      <c r="C78" s="48">
        <f t="shared" si="2"/>
        <v>1.096236114</v>
      </c>
      <c r="D78" s="48">
        <f>IF(MONTH($A78)=12,2.333,1)*VLOOKUP($A78,'Página15'!$A$1:$O$27,COLUMN(),TRUE)</f>
        <v>1</v>
      </c>
      <c r="E78" s="48">
        <f t="shared" si="8"/>
        <v>1.470055302</v>
      </c>
      <c r="F78" s="48">
        <f t="shared" si="4"/>
        <v>1.108385952</v>
      </c>
      <c r="G78" s="48">
        <f>IF(MONTH($A78)=12,2.333,1)*VLOOKUP($A78,'Página15'!$A$1:$O$27,COLUMN(),TRUE)</f>
        <v>1</v>
      </c>
      <c r="H78" s="48">
        <f>VLOOKUP($A78,'Página15'!$A$1:$O$27,COLUMN(),TRUE)</f>
        <v>0.9975896677</v>
      </c>
      <c r="I78" s="48">
        <f>VLOOKUP($A78,'Página15'!$A$1:$O$27,COLUMN(),TRUE)</f>
        <v>0.4321064156</v>
      </c>
      <c r="J78" s="48">
        <f>VLOOKUP($A78,'Página15'!$A$1:$O$27,COLUMN(),TRUE)</f>
        <v>0.9975867447</v>
      </c>
      <c r="K78" s="48">
        <f>VLOOKUP($A78,'Página15'!$A$1:$O$27,COLUMN(),TRUE)</f>
        <v>0.1096103826</v>
      </c>
      <c r="L78" s="48">
        <f>VLOOKUP($A78,'Página15'!$A$1:$O$27,COLUMN(),TRUE)</f>
        <v>0.9978118043</v>
      </c>
      <c r="M78" s="48">
        <f>VLOOKUP($A78,'Página15'!$A$1:$O$27,COLUMN(),TRUE)</f>
        <v>0.4843521842</v>
      </c>
      <c r="N78" s="48">
        <f>VLOOKUP($A78,'Página15'!$A$1:$O$27,COLUMN(),TRUE)</f>
        <v>0.9978089375</v>
      </c>
      <c r="O78" s="48">
        <f>VLOOKUP($A78,'Página15'!$A$1:$O$27,COLUMN(),TRUE)</f>
        <v>0.1228633186</v>
      </c>
      <c r="P78" s="73">
        <f t="shared" si="5"/>
        <v>2022</v>
      </c>
      <c r="Q78" s="73">
        <f t="shared" si="6"/>
        <v>5</v>
      </c>
    </row>
    <row r="79">
      <c r="A79" s="34">
        <v>44713.0</v>
      </c>
      <c r="B79" s="48">
        <f t="shared" si="7"/>
        <v>1.418893528</v>
      </c>
      <c r="C79" s="48">
        <f t="shared" si="2"/>
        <v>1.096236114</v>
      </c>
      <c r="D79" s="48">
        <f>IF(MONTH($A79)=12,2.333,1)*VLOOKUP($A79,'Página15'!$A$1:$O$27,COLUMN(),TRUE)</f>
        <v>1</v>
      </c>
      <c r="E79" s="48">
        <f t="shared" si="8"/>
        <v>1.470055302</v>
      </c>
      <c r="F79" s="48">
        <f t="shared" si="4"/>
        <v>1.108385952</v>
      </c>
      <c r="G79" s="48">
        <f>IF(MONTH($A79)=12,2.333,1)*VLOOKUP($A79,'Página15'!$A$1:$O$27,COLUMN(),TRUE)</f>
        <v>1</v>
      </c>
      <c r="H79" s="48">
        <f>VLOOKUP($A79,'Página15'!$A$1:$O$27,COLUMN(),TRUE)</f>
        <v>0.9975896677</v>
      </c>
      <c r="I79" s="48">
        <f>VLOOKUP($A79,'Página15'!$A$1:$O$27,COLUMN(),TRUE)</f>
        <v>0.4321064156</v>
      </c>
      <c r="J79" s="48">
        <f>VLOOKUP($A79,'Página15'!$A$1:$O$27,COLUMN(),TRUE)</f>
        <v>0.9975867447</v>
      </c>
      <c r="K79" s="48">
        <f>VLOOKUP($A79,'Página15'!$A$1:$O$27,COLUMN(),TRUE)</f>
        <v>0.1096103826</v>
      </c>
      <c r="L79" s="48">
        <f>VLOOKUP($A79,'Página15'!$A$1:$O$27,COLUMN(),TRUE)</f>
        <v>0.9978118043</v>
      </c>
      <c r="M79" s="48">
        <f>VLOOKUP($A79,'Página15'!$A$1:$O$27,COLUMN(),TRUE)</f>
        <v>0.4843521842</v>
      </c>
      <c r="N79" s="48">
        <f>VLOOKUP($A79,'Página15'!$A$1:$O$27,COLUMN(),TRUE)</f>
        <v>0.9978089375</v>
      </c>
      <c r="O79" s="48">
        <f>VLOOKUP($A79,'Página15'!$A$1:$O$27,COLUMN(),TRUE)</f>
        <v>0.1228633186</v>
      </c>
      <c r="P79" s="73">
        <f t="shared" si="5"/>
        <v>2022</v>
      </c>
      <c r="Q79" s="73">
        <f t="shared" si="6"/>
        <v>6</v>
      </c>
    </row>
    <row r="80">
      <c r="A80" s="34">
        <v>44743.0</v>
      </c>
      <c r="B80" s="48">
        <f t="shared" si="7"/>
        <v>1.418893528</v>
      </c>
      <c r="C80" s="48">
        <f t="shared" si="2"/>
        <v>1.096236114</v>
      </c>
      <c r="D80" s="48">
        <f>IF(MONTH($A80)=12,2.333,1)*VLOOKUP($A80,'Página15'!$A$1:$O$27,COLUMN(),TRUE)</f>
        <v>1</v>
      </c>
      <c r="E80" s="48">
        <f t="shared" si="8"/>
        <v>1.470055302</v>
      </c>
      <c r="F80" s="48">
        <f t="shared" si="4"/>
        <v>1.108385952</v>
      </c>
      <c r="G80" s="48">
        <f>IF(MONTH($A80)=12,2.333,1)*VLOOKUP($A80,'Página15'!$A$1:$O$27,COLUMN(),TRUE)</f>
        <v>1</v>
      </c>
      <c r="H80" s="48">
        <f>VLOOKUP($A80,'Página15'!$A$1:$O$27,COLUMN(),TRUE)</f>
        <v>0.9975896677</v>
      </c>
      <c r="I80" s="48">
        <f>VLOOKUP($A80,'Página15'!$A$1:$O$27,COLUMN(),TRUE)</f>
        <v>0.4321064156</v>
      </c>
      <c r="J80" s="48">
        <f>VLOOKUP($A80,'Página15'!$A$1:$O$27,COLUMN(),TRUE)</f>
        <v>0.9975867447</v>
      </c>
      <c r="K80" s="48">
        <f>VLOOKUP($A80,'Página15'!$A$1:$O$27,COLUMN(),TRUE)</f>
        <v>0.1096103826</v>
      </c>
      <c r="L80" s="48">
        <f>VLOOKUP($A80,'Página15'!$A$1:$O$27,COLUMN(),TRUE)</f>
        <v>0.9978118043</v>
      </c>
      <c r="M80" s="48">
        <f>VLOOKUP($A80,'Página15'!$A$1:$O$27,COLUMN(),TRUE)</f>
        <v>0.4843521842</v>
      </c>
      <c r="N80" s="48">
        <f>VLOOKUP($A80,'Página15'!$A$1:$O$27,COLUMN(),TRUE)</f>
        <v>0.9978089375</v>
      </c>
      <c r="O80" s="48">
        <f>VLOOKUP($A80,'Página15'!$A$1:$O$27,COLUMN(),TRUE)</f>
        <v>0.1228633186</v>
      </c>
      <c r="P80" s="73">
        <f t="shared" si="5"/>
        <v>2022</v>
      </c>
      <c r="Q80" s="73">
        <f t="shared" si="6"/>
        <v>7</v>
      </c>
    </row>
    <row r="81">
      <c r="A81" s="34">
        <v>44774.0</v>
      </c>
      <c r="B81" s="48">
        <f t="shared" si="7"/>
        <v>1.418893528</v>
      </c>
      <c r="C81" s="48">
        <f t="shared" si="2"/>
        <v>1.096236114</v>
      </c>
      <c r="D81" s="48">
        <f>IF(MONTH($A81)=12,2.333,1)*VLOOKUP($A81,'Página15'!$A$1:$O$27,COLUMN(),TRUE)</f>
        <v>1</v>
      </c>
      <c r="E81" s="48">
        <f t="shared" si="8"/>
        <v>1.470055302</v>
      </c>
      <c r="F81" s="48">
        <f t="shared" si="4"/>
        <v>1.108385952</v>
      </c>
      <c r="G81" s="48">
        <f>IF(MONTH($A81)=12,2.333,1)*VLOOKUP($A81,'Página15'!$A$1:$O$27,COLUMN(),TRUE)</f>
        <v>1</v>
      </c>
      <c r="H81" s="48">
        <f>VLOOKUP($A81,'Página15'!$A$1:$O$27,COLUMN(),TRUE)</f>
        <v>0.9975896677</v>
      </c>
      <c r="I81" s="48">
        <f>VLOOKUP($A81,'Página15'!$A$1:$O$27,COLUMN(),TRUE)</f>
        <v>0.4321064156</v>
      </c>
      <c r="J81" s="48">
        <f>VLOOKUP($A81,'Página15'!$A$1:$O$27,COLUMN(),TRUE)</f>
        <v>0.9975867447</v>
      </c>
      <c r="K81" s="48">
        <f>VLOOKUP($A81,'Página15'!$A$1:$O$27,COLUMN(),TRUE)</f>
        <v>0.1096103826</v>
      </c>
      <c r="L81" s="48">
        <f>VLOOKUP($A81,'Página15'!$A$1:$O$27,COLUMN(),TRUE)</f>
        <v>0.9978118043</v>
      </c>
      <c r="M81" s="48">
        <f>VLOOKUP($A81,'Página15'!$A$1:$O$27,COLUMN(),TRUE)</f>
        <v>0.4843521842</v>
      </c>
      <c r="N81" s="48">
        <f>VLOOKUP($A81,'Página15'!$A$1:$O$27,COLUMN(),TRUE)</f>
        <v>0.9978089375</v>
      </c>
      <c r="O81" s="48">
        <f>VLOOKUP($A81,'Página15'!$A$1:$O$27,COLUMN(),TRUE)</f>
        <v>0.1228633186</v>
      </c>
      <c r="P81" s="73">
        <f t="shared" si="5"/>
        <v>2022</v>
      </c>
      <c r="Q81" s="73">
        <f t="shared" si="6"/>
        <v>8</v>
      </c>
    </row>
    <row r="82">
      <c r="A82" s="34">
        <v>44805.0</v>
      </c>
      <c r="B82" s="48">
        <f t="shared" si="7"/>
        <v>1.418893528</v>
      </c>
      <c r="C82" s="48">
        <f t="shared" si="2"/>
        <v>1.096236114</v>
      </c>
      <c r="D82" s="48">
        <f>IF(MONTH($A82)=12,2.333,1)*VLOOKUP($A82,'Página15'!$A$1:$O$27,COLUMN(),TRUE)</f>
        <v>1</v>
      </c>
      <c r="E82" s="48">
        <f t="shared" si="8"/>
        <v>1.470055302</v>
      </c>
      <c r="F82" s="48">
        <f t="shared" si="4"/>
        <v>1.108385952</v>
      </c>
      <c r="G82" s="48">
        <f>IF(MONTH($A82)=12,2.333,1)*VLOOKUP($A82,'Página15'!$A$1:$O$27,COLUMN(),TRUE)</f>
        <v>1</v>
      </c>
      <c r="H82" s="48">
        <f>VLOOKUP($A82,'Página15'!$A$1:$O$27,COLUMN(),TRUE)</f>
        <v>0.9975896677</v>
      </c>
      <c r="I82" s="48">
        <f>VLOOKUP($A82,'Página15'!$A$1:$O$27,COLUMN(),TRUE)</f>
        <v>0.4321064156</v>
      </c>
      <c r="J82" s="48">
        <f>VLOOKUP($A82,'Página15'!$A$1:$O$27,COLUMN(),TRUE)</f>
        <v>0.9975867447</v>
      </c>
      <c r="K82" s="48">
        <f>VLOOKUP($A82,'Página15'!$A$1:$O$27,COLUMN(),TRUE)</f>
        <v>0.1096103826</v>
      </c>
      <c r="L82" s="48">
        <f>VLOOKUP($A82,'Página15'!$A$1:$O$27,COLUMN(),TRUE)</f>
        <v>0.9978118043</v>
      </c>
      <c r="M82" s="48">
        <f>VLOOKUP($A82,'Página15'!$A$1:$O$27,COLUMN(),TRUE)</f>
        <v>0.4843521842</v>
      </c>
      <c r="N82" s="48">
        <f>VLOOKUP($A82,'Página15'!$A$1:$O$27,COLUMN(),TRUE)</f>
        <v>0.9978089375</v>
      </c>
      <c r="O82" s="48">
        <f>VLOOKUP($A82,'Página15'!$A$1:$O$27,COLUMN(),TRUE)</f>
        <v>0.1228633186</v>
      </c>
      <c r="P82" s="73">
        <f t="shared" si="5"/>
        <v>2022</v>
      </c>
      <c r="Q82" s="73">
        <f t="shared" si="6"/>
        <v>9</v>
      </c>
    </row>
    <row r="83">
      <c r="A83" s="34">
        <v>44835.0</v>
      </c>
      <c r="B83" s="48">
        <f t="shared" si="7"/>
        <v>1.418893528</v>
      </c>
      <c r="C83" s="48">
        <f t="shared" si="2"/>
        <v>1.096236114</v>
      </c>
      <c r="D83" s="48">
        <f>IF(MONTH($A83)=12,2.333,1)*VLOOKUP($A83,'Página15'!$A$1:$O$27,COLUMN(),TRUE)</f>
        <v>1</v>
      </c>
      <c r="E83" s="48">
        <f t="shared" si="8"/>
        <v>1.470055302</v>
      </c>
      <c r="F83" s="48">
        <f t="shared" si="4"/>
        <v>1.108385952</v>
      </c>
      <c r="G83" s="48">
        <f>IF(MONTH($A83)=12,2.333,1)*VLOOKUP($A83,'Página15'!$A$1:$O$27,COLUMN(),TRUE)</f>
        <v>1</v>
      </c>
      <c r="H83" s="48">
        <f>VLOOKUP($A83,'Página15'!$A$1:$O$27,COLUMN(),TRUE)</f>
        <v>0.9975896677</v>
      </c>
      <c r="I83" s="48">
        <f>VLOOKUP($A83,'Página15'!$A$1:$O$27,COLUMN(),TRUE)</f>
        <v>0.4321064156</v>
      </c>
      <c r="J83" s="48">
        <f>VLOOKUP($A83,'Página15'!$A$1:$O$27,COLUMN(),TRUE)</f>
        <v>0.9975867447</v>
      </c>
      <c r="K83" s="48">
        <f>VLOOKUP($A83,'Página15'!$A$1:$O$27,COLUMN(),TRUE)</f>
        <v>0.1096103826</v>
      </c>
      <c r="L83" s="48">
        <f>VLOOKUP($A83,'Página15'!$A$1:$O$27,COLUMN(),TRUE)</f>
        <v>0.9978118043</v>
      </c>
      <c r="M83" s="48">
        <f>VLOOKUP($A83,'Página15'!$A$1:$O$27,COLUMN(),TRUE)</f>
        <v>0.4843521842</v>
      </c>
      <c r="N83" s="48">
        <f>VLOOKUP($A83,'Página15'!$A$1:$O$27,COLUMN(),TRUE)</f>
        <v>0.9978089375</v>
      </c>
      <c r="O83" s="48">
        <f>VLOOKUP($A83,'Página15'!$A$1:$O$27,COLUMN(),TRUE)</f>
        <v>0.1228633186</v>
      </c>
      <c r="P83" s="73">
        <f t="shared" si="5"/>
        <v>2022</v>
      </c>
      <c r="Q83" s="73">
        <f t="shared" si="6"/>
        <v>10</v>
      </c>
    </row>
    <row r="84">
      <c r="A84" s="34">
        <v>44866.0</v>
      </c>
      <c r="B84" s="48">
        <f t="shared" si="7"/>
        <v>1.418893528</v>
      </c>
      <c r="C84" s="48">
        <f t="shared" si="2"/>
        <v>1.096236114</v>
      </c>
      <c r="D84" s="48">
        <f>IF(MONTH($A84)=12,2.333,1)*VLOOKUP($A84,'Página15'!$A$1:$O$27,COLUMN(),TRUE)</f>
        <v>1</v>
      </c>
      <c r="E84" s="48">
        <f t="shared" si="8"/>
        <v>1.470055302</v>
      </c>
      <c r="F84" s="48">
        <f t="shared" si="4"/>
        <v>1.108385952</v>
      </c>
      <c r="G84" s="48">
        <f>IF(MONTH($A84)=12,2.333,1)*VLOOKUP($A84,'Página15'!$A$1:$O$27,COLUMN(),TRUE)</f>
        <v>1</v>
      </c>
      <c r="H84" s="48">
        <f>VLOOKUP($A84,'Página15'!$A$1:$O$27,COLUMN(),TRUE)</f>
        <v>0.9975896677</v>
      </c>
      <c r="I84" s="48">
        <f>VLOOKUP($A84,'Página15'!$A$1:$O$27,COLUMN(),TRUE)</f>
        <v>0.4321064156</v>
      </c>
      <c r="J84" s="48">
        <f>VLOOKUP($A84,'Página15'!$A$1:$O$27,COLUMN(),TRUE)</f>
        <v>0.9975867447</v>
      </c>
      <c r="K84" s="48">
        <f>VLOOKUP($A84,'Página15'!$A$1:$O$27,COLUMN(),TRUE)</f>
        <v>0.1096103826</v>
      </c>
      <c r="L84" s="48">
        <f>VLOOKUP($A84,'Página15'!$A$1:$O$27,COLUMN(),TRUE)</f>
        <v>0.9978118043</v>
      </c>
      <c r="M84" s="48">
        <f>VLOOKUP($A84,'Página15'!$A$1:$O$27,COLUMN(),TRUE)</f>
        <v>0.4843521842</v>
      </c>
      <c r="N84" s="48">
        <f>VLOOKUP($A84,'Página15'!$A$1:$O$27,COLUMN(),TRUE)</f>
        <v>0.9978089375</v>
      </c>
      <c r="O84" s="48">
        <f>VLOOKUP($A84,'Página15'!$A$1:$O$27,COLUMN(),TRUE)</f>
        <v>0.1228633186</v>
      </c>
      <c r="P84" s="73">
        <f t="shared" si="5"/>
        <v>2022</v>
      </c>
      <c r="Q84" s="73">
        <f t="shared" si="6"/>
        <v>11</v>
      </c>
    </row>
    <row r="85">
      <c r="A85" s="34">
        <v>44896.0</v>
      </c>
      <c r="B85" s="48">
        <f t="shared" si="7"/>
        <v>3.310278601</v>
      </c>
      <c r="C85" s="48">
        <f t="shared" si="2"/>
        <v>2.557518853</v>
      </c>
      <c r="D85" s="48">
        <f>IF(MONTH($A85)=12,2.333,1)*VLOOKUP($A85,'Página15'!$A$1:$O$27,COLUMN(),TRUE)</f>
        <v>2.333</v>
      </c>
      <c r="E85" s="48">
        <f t="shared" si="8"/>
        <v>3.42963902</v>
      </c>
      <c r="F85" s="48">
        <f t="shared" si="4"/>
        <v>2.585864426</v>
      </c>
      <c r="G85" s="48">
        <f>IF(MONTH($A85)=12,2.333,1)*VLOOKUP($A85,'Página15'!$A$1:$O$27,COLUMN(),TRUE)</f>
        <v>2.333</v>
      </c>
      <c r="H85" s="48">
        <f>VLOOKUP($A85,'Página15'!$A$1:$O$27,COLUMN(),TRUE)</f>
        <v>0.9975896677</v>
      </c>
      <c r="I85" s="48">
        <f>VLOOKUP($A85,'Página15'!$A$1:$O$27,COLUMN(),TRUE)</f>
        <v>0.4321064156</v>
      </c>
      <c r="J85" s="48">
        <f>VLOOKUP($A85,'Página15'!$A$1:$O$27,COLUMN(),TRUE)</f>
        <v>0.9975867447</v>
      </c>
      <c r="K85" s="48">
        <f>VLOOKUP($A85,'Página15'!$A$1:$O$27,COLUMN(),TRUE)</f>
        <v>0.1096103826</v>
      </c>
      <c r="L85" s="48">
        <f>VLOOKUP($A85,'Página15'!$A$1:$O$27,COLUMN(),TRUE)</f>
        <v>0.9978118043</v>
      </c>
      <c r="M85" s="48">
        <f>VLOOKUP($A85,'Página15'!$A$1:$O$27,COLUMN(),TRUE)</f>
        <v>0.4843521842</v>
      </c>
      <c r="N85" s="48">
        <f>VLOOKUP($A85,'Página15'!$A$1:$O$27,COLUMN(),TRUE)</f>
        <v>0.9978089375</v>
      </c>
      <c r="O85" s="48">
        <f>VLOOKUP($A85,'Página15'!$A$1:$O$27,COLUMN(),TRUE)</f>
        <v>0.1228633186</v>
      </c>
      <c r="P85" s="73">
        <f t="shared" si="5"/>
        <v>2022</v>
      </c>
      <c r="Q85" s="73">
        <f t="shared" si="6"/>
        <v>12</v>
      </c>
    </row>
    <row r="86">
      <c r="A86" s="34">
        <v>44927.0</v>
      </c>
      <c r="B86" s="48">
        <f t="shared" si="7"/>
        <v>1.424616069</v>
      </c>
      <c r="C86" s="48">
        <f t="shared" si="2"/>
        <v>1.096236114</v>
      </c>
      <c r="D86" s="48">
        <f>IF(MONTH($A86)=12,2.333,1)*VLOOKUP($A86,'Página15'!$A$1:$O$27,COLUMN(),TRUE)</f>
        <v>1</v>
      </c>
      <c r="E86" s="48">
        <f t="shared" si="8"/>
        <v>1.475254045</v>
      </c>
      <c r="F86" s="48">
        <f t="shared" si="4"/>
        <v>1.108109406</v>
      </c>
      <c r="G86" s="48">
        <f>IF(MONTH($A86)=12,2.333,1)*VLOOKUP($A86,'Página15'!$A$1:$O$27,COLUMN(),TRUE)</f>
        <v>1</v>
      </c>
      <c r="H86" s="48">
        <f>VLOOKUP($A86,'Página15'!$A$1:$O$27,COLUMN(),TRUE)</f>
        <v>0.9975896677</v>
      </c>
      <c r="I86" s="48">
        <f>VLOOKUP($A86,'Página15'!$A$1:$O$27,COLUMN(),TRUE)</f>
        <v>0.4379756862</v>
      </c>
      <c r="J86" s="48">
        <f>VLOOKUP($A86,'Página15'!$A$1:$O$27,COLUMN(),TRUE)</f>
        <v>0.9975867447</v>
      </c>
      <c r="K86" s="48">
        <f>VLOOKUP($A86,'Página15'!$A$1:$O$27,COLUMN(),TRUE)</f>
        <v>0.1096103826</v>
      </c>
      <c r="L86" s="48">
        <f>VLOOKUP($A86,'Página15'!$A$1:$O$27,COLUMN(),TRUE)</f>
        <v>0.9978173874</v>
      </c>
      <c r="M86" s="48">
        <f>VLOOKUP($A86,'Página15'!$A$1:$O$27,COLUMN(),TRUE)</f>
        <v>0.4896785008</v>
      </c>
      <c r="N86" s="48">
        <f>VLOOKUP($A86,'Página15'!$A$1:$O$27,COLUMN(),TRUE)</f>
        <v>0.997814528</v>
      </c>
      <c r="O86" s="48">
        <f>VLOOKUP($A86,'Página15'!$A$1:$O$27,COLUMN(),TRUE)</f>
        <v>0.1225498344</v>
      </c>
      <c r="P86" s="73">
        <f t="shared" si="5"/>
        <v>2023</v>
      </c>
      <c r="Q86" s="73">
        <f t="shared" si="6"/>
        <v>1</v>
      </c>
    </row>
    <row r="87">
      <c r="A87" s="34">
        <v>44958.0</v>
      </c>
      <c r="B87" s="48">
        <f t="shared" si="7"/>
        <v>1.424700496</v>
      </c>
      <c r="C87" s="48">
        <f t="shared" si="2"/>
        <v>1.096236114</v>
      </c>
      <c r="D87" s="48">
        <f>IF(MONTH($A87)=12,2.333,1)*VLOOKUP($A87,'Página15'!$A$1:$O$27,COLUMN(),TRUE)</f>
        <v>1</v>
      </c>
      <c r="E87" s="48">
        <f t="shared" si="8"/>
        <v>1.475348439</v>
      </c>
      <c r="F87" s="48">
        <f t="shared" si="4"/>
        <v>1.108109406</v>
      </c>
      <c r="G87" s="48">
        <f>IF(MONTH($A87)=12,2.333,1)*VLOOKUP($A87,'Página15'!$A$1:$O$27,COLUMN(),TRUE)</f>
        <v>1</v>
      </c>
      <c r="H87" s="48">
        <f>VLOOKUP($A87,'Página15'!$A$1:$O$27,COLUMN(),TRUE)</f>
        <v>0.9975896677</v>
      </c>
      <c r="I87" s="48">
        <f>VLOOKUP($A87,'Página15'!$A$1:$O$27,COLUMN(),TRUE)</f>
        <v>0.4380622784</v>
      </c>
      <c r="J87" s="48">
        <f>VLOOKUP($A87,'Página15'!$A$1:$O$27,COLUMN(),TRUE)</f>
        <v>0.9975867447</v>
      </c>
      <c r="K87" s="48">
        <f>VLOOKUP($A87,'Página15'!$A$1:$O$27,COLUMN(),TRUE)</f>
        <v>0.1096103826</v>
      </c>
      <c r="L87" s="48">
        <f>VLOOKUP($A87,'Página15'!$A$1:$O$27,COLUMN(),TRUE)</f>
        <v>0.9978173874</v>
      </c>
      <c r="M87" s="48">
        <f>VLOOKUP($A87,'Página15'!$A$1:$O$27,COLUMN(),TRUE)</f>
        <v>0.4897753152</v>
      </c>
      <c r="N87" s="48">
        <f>VLOOKUP($A87,'Página15'!$A$1:$O$27,COLUMN(),TRUE)</f>
        <v>0.997814528</v>
      </c>
      <c r="O87" s="48">
        <f>VLOOKUP($A87,'Página15'!$A$1:$O$27,COLUMN(),TRUE)</f>
        <v>0.1225498344</v>
      </c>
      <c r="P87" s="73">
        <f t="shared" si="5"/>
        <v>2023</v>
      </c>
      <c r="Q87" s="73">
        <f t="shared" si="6"/>
        <v>2</v>
      </c>
    </row>
    <row r="88">
      <c r="A88" s="34">
        <v>44986.0</v>
      </c>
      <c r="B88" s="48">
        <f t="shared" si="7"/>
        <v>1.424700496</v>
      </c>
      <c r="C88" s="48">
        <f t="shared" si="2"/>
        <v>1.096236114</v>
      </c>
      <c r="D88" s="48">
        <f>IF(MONTH($A88)=12,2.333,1)*VLOOKUP($A88,'Página15'!$A$1:$O$27,COLUMN(),TRUE)</f>
        <v>1</v>
      </c>
      <c r="E88" s="48">
        <f t="shared" si="8"/>
        <v>1.475348439</v>
      </c>
      <c r="F88" s="48">
        <f t="shared" si="4"/>
        <v>1.108109406</v>
      </c>
      <c r="G88" s="48">
        <f>IF(MONTH($A88)=12,2.333,1)*VLOOKUP($A88,'Página15'!$A$1:$O$27,COLUMN(),TRUE)</f>
        <v>1</v>
      </c>
      <c r="H88" s="48">
        <f>VLOOKUP($A88,'Página15'!$A$1:$O$27,COLUMN(),TRUE)</f>
        <v>0.9975896677</v>
      </c>
      <c r="I88" s="48">
        <f>VLOOKUP($A88,'Página15'!$A$1:$O$27,COLUMN(),TRUE)</f>
        <v>0.4380622784</v>
      </c>
      <c r="J88" s="48">
        <f>VLOOKUP($A88,'Página15'!$A$1:$O$27,COLUMN(),TRUE)</f>
        <v>0.9975867447</v>
      </c>
      <c r="K88" s="48">
        <f>VLOOKUP($A88,'Página15'!$A$1:$O$27,COLUMN(),TRUE)</f>
        <v>0.1096103826</v>
      </c>
      <c r="L88" s="48">
        <f>VLOOKUP($A88,'Página15'!$A$1:$O$27,COLUMN(),TRUE)</f>
        <v>0.9978173874</v>
      </c>
      <c r="M88" s="48">
        <f>VLOOKUP($A88,'Página15'!$A$1:$O$27,COLUMN(),TRUE)</f>
        <v>0.4897753152</v>
      </c>
      <c r="N88" s="48">
        <f>VLOOKUP($A88,'Página15'!$A$1:$O$27,COLUMN(),TRUE)</f>
        <v>0.997814528</v>
      </c>
      <c r="O88" s="48">
        <f>VLOOKUP($A88,'Página15'!$A$1:$O$27,COLUMN(),TRUE)</f>
        <v>0.1225498344</v>
      </c>
      <c r="P88" s="73">
        <f t="shared" si="5"/>
        <v>2023</v>
      </c>
      <c r="Q88" s="73">
        <f t="shared" si="6"/>
        <v>3</v>
      </c>
    </row>
    <row r="89">
      <c r="A89" s="34">
        <v>45017.0</v>
      </c>
      <c r="B89" s="48">
        <f t="shared" si="7"/>
        <v>1.499837692</v>
      </c>
      <c r="C89" s="48">
        <f t="shared" si="2"/>
        <v>1.096236114</v>
      </c>
      <c r="D89" s="48">
        <f>IF(MONTH($A89)=12,2.333,1)*VLOOKUP($A89,'Página15'!$A$1:$O$27,COLUMN(),TRUE)</f>
        <v>1</v>
      </c>
      <c r="E89" s="48">
        <f t="shared" si="8"/>
        <v>1.559355544</v>
      </c>
      <c r="F89" s="48">
        <f t="shared" si="4"/>
        <v>1.108109406</v>
      </c>
      <c r="G89" s="48">
        <f>IF(MONTH($A89)=12,2.333,1)*VLOOKUP($A89,'Página15'!$A$1:$O$27,COLUMN(),TRUE)</f>
        <v>1</v>
      </c>
      <c r="H89" s="48">
        <f>VLOOKUP($A89,'Página15'!$A$1:$O$27,COLUMN(),TRUE)</f>
        <v>0.9975896677</v>
      </c>
      <c r="I89" s="48">
        <f>VLOOKUP($A89,'Página15'!$A$1:$O$27,COLUMN(),TRUE)</f>
        <v>0.5151260501</v>
      </c>
      <c r="J89" s="48">
        <f>VLOOKUP($A89,'Página15'!$A$1:$O$27,COLUMN(),TRUE)</f>
        <v>0.9975867447</v>
      </c>
      <c r="K89" s="48">
        <f>VLOOKUP($A89,'Página15'!$A$1:$O$27,COLUMN(),TRUE)</f>
        <v>0.1096103826</v>
      </c>
      <c r="L89" s="48">
        <f>VLOOKUP($A89,'Página15'!$A$1:$O$27,COLUMN(),TRUE)</f>
        <v>0.9978173874</v>
      </c>
      <c r="M89" s="48">
        <f>VLOOKUP($A89,'Página15'!$A$1:$O$27,COLUMN(),TRUE)</f>
        <v>0.5759364272</v>
      </c>
      <c r="N89" s="48">
        <f>VLOOKUP($A89,'Página15'!$A$1:$O$27,COLUMN(),TRUE)</f>
        <v>0.997814528</v>
      </c>
      <c r="O89" s="48">
        <f>VLOOKUP($A89,'Página15'!$A$1:$O$27,COLUMN(),TRUE)</f>
        <v>0.1225498344</v>
      </c>
      <c r="P89" s="73">
        <f t="shared" si="5"/>
        <v>2023</v>
      </c>
      <c r="Q89" s="73">
        <f t="shared" si="6"/>
        <v>4</v>
      </c>
    </row>
    <row r="90">
      <c r="A90" s="34">
        <v>45047.0</v>
      </c>
      <c r="B90" s="48">
        <f t="shared" si="7"/>
        <v>1.386175001</v>
      </c>
      <c r="C90" s="48">
        <f t="shared" si="2"/>
        <v>1.088090905</v>
      </c>
      <c r="D90" s="48">
        <f>IF(MONTH($A90)=12,2.333,1)*VLOOKUP($A90,'Página15'!$A$1:$O$27,COLUMN(),TRUE)</f>
        <v>1</v>
      </c>
      <c r="E90" s="48">
        <f t="shared" si="8"/>
        <v>1.435311556</v>
      </c>
      <c r="F90" s="48">
        <f t="shared" si="4"/>
        <v>1.099698199</v>
      </c>
      <c r="G90" s="48">
        <f>IF(MONTH($A90)=12,2.333,1)*VLOOKUP($A90,'Página15'!$A$1:$O$27,COLUMN(),TRUE)</f>
        <v>1</v>
      </c>
      <c r="H90" s="48">
        <f>VLOOKUP($A90,'Página15'!$A$1:$O$27,COLUMN(),TRUE)</f>
        <v>0.9975895772</v>
      </c>
      <c r="I90" s="48">
        <f>VLOOKUP($A90,'Página15'!$A$1:$O$27,COLUMN(),TRUE)</f>
        <v>0.3985490535</v>
      </c>
      <c r="J90" s="48">
        <f>VLOOKUP($A90,'Página15'!$A$1:$O$27,COLUMN(),TRUE)</f>
        <v>0.9975868956</v>
      </c>
      <c r="K90" s="48">
        <f>VLOOKUP($A90,'Página15'!$A$1:$O$27,COLUMN(),TRUE)</f>
        <v>0.100559985</v>
      </c>
      <c r="L90" s="48">
        <f>VLOOKUP($A90,'Página15'!$A$1:$O$27,COLUMN(),TRUE)</f>
        <v>0.9978016275</v>
      </c>
      <c r="M90" s="48">
        <f>VLOOKUP($A90,'Página15'!$A$1:$O$27,COLUMN(),TRUE)</f>
        <v>0.4487280191</v>
      </c>
      <c r="N90" s="48">
        <f>VLOOKUP($A90,'Página15'!$A$1:$O$27,COLUMN(),TRUE)</f>
        <v>0.9977993631</v>
      </c>
      <c r="O90" s="48">
        <f>VLOOKUP($A90,'Página15'!$A$1:$O$27,COLUMN(),TRUE)</f>
        <v>0.1132209009</v>
      </c>
      <c r="P90" s="73">
        <f t="shared" si="5"/>
        <v>2023</v>
      </c>
      <c r="Q90" s="73">
        <f t="shared" si="6"/>
        <v>5</v>
      </c>
    </row>
    <row r="91">
      <c r="A91" s="34">
        <v>45078.0</v>
      </c>
      <c r="B91" s="48">
        <f t="shared" si="7"/>
        <v>1.386175001</v>
      </c>
      <c r="C91" s="48">
        <f t="shared" si="2"/>
        <v>1.088090905</v>
      </c>
      <c r="D91" s="48">
        <f>IF(MONTH($A91)=12,2.333,1)*VLOOKUP($A91,'Página15'!$A$1:$O$27,COLUMN(),TRUE)</f>
        <v>1</v>
      </c>
      <c r="E91" s="48">
        <f t="shared" si="8"/>
        <v>1.435311556</v>
      </c>
      <c r="F91" s="48">
        <f t="shared" si="4"/>
        <v>1.099698199</v>
      </c>
      <c r="G91" s="48">
        <f>IF(MONTH($A91)=12,2.333,1)*VLOOKUP($A91,'Página15'!$A$1:$O$27,COLUMN(),TRUE)</f>
        <v>1</v>
      </c>
      <c r="H91" s="48">
        <f>VLOOKUP($A91,'Página15'!$A$1:$O$27,COLUMN(),TRUE)</f>
        <v>0.9975895772</v>
      </c>
      <c r="I91" s="48">
        <f>VLOOKUP($A91,'Página15'!$A$1:$O$27,COLUMN(),TRUE)</f>
        <v>0.3985490535</v>
      </c>
      <c r="J91" s="48">
        <f>VLOOKUP($A91,'Página15'!$A$1:$O$27,COLUMN(),TRUE)</f>
        <v>0.9975868956</v>
      </c>
      <c r="K91" s="48">
        <f>VLOOKUP($A91,'Página15'!$A$1:$O$27,COLUMN(),TRUE)</f>
        <v>0.100559985</v>
      </c>
      <c r="L91" s="48">
        <f>VLOOKUP($A91,'Página15'!$A$1:$O$27,COLUMN(),TRUE)</f>
        <v>0.9978016275</v>
      </c>
      <c r="M91" s="48">
        <f>VLOOKUP($A91,'Página15'!$A$1:$O$27,COLUMN(),TRUE)</f>
        <v>0.4487280191</v>
      </c>
      <c r="N91" s="48">
        <f>VLOOKUP($A91,'Página15'!$A$1:$O$27,COLUMN(),TRUE)</f>
        <v>0.9977993631</v>
      </c>
      <c r="O91" s="48">
        <f>VLOOKUP($A91,'Página15'!$A$1:$O$27,COLUMN(),TRUE)</f>
        <v>0.1132209009</v>
      </c>
      <c r="P91" s="73">
        <f t="shared" si="5"/>
        <v>2023</v>
      </c>
      <c r="Q91" s="73">
        <f t="shared" si="6"/>
        <v>6</v>
      </c>
    </row>
    <row r="92">
      <c r="A92" s="34">
        <v>45108.0</v>
      </c>
      <c r="B92" s="48">
        <f t="shared" si="7"/>
        <v>1.386175001</v>
      </c>
      <c r="C92" s="48">
        <f t="shared" si="2"/>
        <v>1.088090905</v>
      </c>
      <c r="D92" s="48">
        <f>IF(MONTH($A92)=12,2.333,1)*VLOOKUP($A92,'Página15'!$A$1:$O$27,COLUMN(),TRUE)</f>
        <v>1</v>
      </c>
      <c r="E92" s="48">
        <f t="shared" si="8"/>
        <v>1.435311556</v>
      </c>
      <c r="F92" s="48">
        <f t="shared" si="4"/>
        <v>1.099698199</v>
      </c>
      <c r="G92" s="48">
        <f>IF(MONTH($A92)=12,2.333,1)*VLOOKUP($A92,'Página15'!$A$1:$O$27,COLUMN(),TRUE)</f>
        <v>1</v>
      </c>
      <c r="H92" s="48">
        <f>VLOOKUP($A92,'Página15'!$A$1:$O$27,COLUMN(),TRUE)</f>
        <v>0.9975895772</v>
      </c>
      <c r="I92" s="48">
        <f>VLOOKUP($A92,'Página15'!$A$1:$O$27,COLUMN(),TRUE)</f>
        <v>0.3985490535</v>
      </c>
      <c r="J92" s="48">
        <f>VLOOKUP($A92,'Página15'!$A$1:$O$27,COLUMN(),TRUE)</f>
        <v>0.9975868956</v>
      </c>
      <c r="K92" s="48">
        <f>VLOOKUP($A92,'Página15'!$A$1:$O$27,COLUMN(),TRUE)</f>
        <v>0.100559985</v>
      </c>
      <c r="L92" s="48">
        <f>VLOOKUP($A92,'Página15'!$A$1:$O$27,COLUMN(),TRUE)</f>
        <v>0.9978016275</v>
      </c>
      <c r="M92" s="48">
        <f>VLOOKUP($A92,'Página15'!$A$1:$O$27,COLUMN(),TRUE)</f>
        <v>0.4487280191</v>
      </c>
      <c r="N92" s="48">
        <f>VLOOKUP($A92,'Página15'!$A$1:$O$27,COLUMN(),TRUE)</f>
        <v>0.9977993631</v>
      </c>
      <c r="O92" s="48">
        <f>VLOOKUP($A92,'Página15'!$A$1:$O$27,COLUMN(),TRUE)</f>
        <v>0.1132209009</v>
      </c>
      <c r="P92" s="73">
        <f t="shared" si="5"/>
        <v>2023</v>
      </c>
      <c r="Q92" s="73">
        <f t="shared" si="6"/>
        <v>7</v>
      </c>
    </row>
    <row r="93">
      <c r="A93" s="34">
        <v>45139.0</v>
      </c>
      <c r="B93" s="48">
        <f t="shared" si="7"/>
        <v>1.386175001</v>
      </c>
      <c r="C93" s="48">
        <f t="shared" si="2"/>
        <v>1.088090905</v>
      </c>
      <c r="D93" s="48">
        <f>IF(MONTH($A93)=12,2.333,1)*VLOOKUP($A93,'Página15'!$A$1:$O$27,COLUMN(),TRUE)</f>
        <v>1</v>
      </c>
      <c r="E93" s="48">
        <f t="shared" si="8"/>
        <v>1.435311556</v>
      </c>
      <c r="F93" s="48">
        <f t="shared" si="4"/>
        <v>1.099698199</v>
      </c>
      <c r="G93" s="48">
        <f>IF(MONTH($A93)=12,2.333,1)*VLOOKUP($A93,'Página15'!$A$1:$O$27,COLUMN(),TRUE)</f>
        <v>1</v>
      </c>
      <c r="H93" s="48">
        <f>VLOOKUP($A93,'Página15'!$A$1:$O$27,COLUMN(),TRUE)</f>
        <v>0.9975895772</v>
      </c>
      <c r="I93" s="48">
        <f>VLOOKUP($A93,'Página15'!$A$1:$O$27,COLUMN(),TRUE)</f>
        <v>0.3985490535</v>
      </c>
      <c r="J93" s="48">
        <f>VLOOKUP($A93,'Página15'!$A$1:$O$27,COLUMN(),TRUE)</f>
        <v>0.9975868956</v>
      </c>
      <c r="K93" s="48">
        <f>VLOOKUP($A93,'Página15'!$A$1:$O$27,COLUMN(),TRUE)</f>
        <v>0.100559985</v>
      </c>
      <c r="L93" s="48">
        <f>VLOOKUP($A93,'Página15'!$A$1:$O$27,COLUMN(),TRUE)</f>
        <v>0.9978016275</v>
      </c>
      <c r="M93" s="48">
        <f>VLOOKUP($A93,'Página15'!$A$1:$O$27,COLUMN(),TRUE)</f>
        <v>0.4487280191</v>
      </c>
      <c r="N93" s="48">
        <f>VLOOKUP($A93,'Página15'!$A$1:$O$27,COLUMN(),TRUE)</f>
        <v>0.9977993631</v>
      </c>
      <c r="O93" s="48">
        <f>VLOOKUP($A93,'Página15'!$A$1:$O$27,COLUMN(),TRUE)</f>
        <v>0.1132209009</v>
      </c>
      <c r="P93" s="73">
        <f t="shared" si="5"/>
        <v>2023</v>
      </c>
      <c r="Q93" s="73">
        <f t="shared" si="6"/>
        <v>8</v>
      </c>
    </row>
    <row r="94">
      <c r="A94" s="34">
        <v>45170.0</v>
      </c>
      <c r="B94" s="48">
        <f t="shared" si="7"/>
        <v>1.386175001</v>
      </c>
      <c r="C94" s="48">
        <f t="shared" si="2"/>
        <v>1.088090905</v>
      </c>
      <c r="D94" s="48">
        <f>IF(MONTH($A94)=12,2.333,1)*VLOOKUP($A94,'Página15'!$A$1:$O$27,COLUMN(),TRUE)</f>
        <v>1</v>
      </c>
      <c r="E94" s="48">
        <f t="shared" si="8"/>
        <v>1.435311556</v>
      </c>
      <c r="F94" s="48">
        <f t="shared" si="4"/>
        <v>1.099698199</v>
      </c>
      <c r="G94" s="48">
        <f>IF(MONTH($A94)=12,2.333,1)*VLOOKUP($A94,'Página15'!$A$1:$O$27,COLUMN(),TRUE)</f>
        <v>1</v>
      </c>
      <c r="H94" s="48">
        <f>VLOOKUP($A94,'Página15'!$A$1:$O$27,COLUMN(),TRUE)</f>
        <v>0.9975895772</v>
      </c>
      <c r="I94" s="48">
        <f>VLOOKUP($A94,'Página15'!$A$1:$O$27,COLUMN(),TRUE)</f>
        <v>0.3985490535</v>
      </c>
      <c r="J94" s="48">
        <f>VLOOKUP($A94,'Página15'!$A$1:$O$27,COLUMN(),TRUE)</f>
        <v>0.9975868956</v>
      </c>
      <c r="K94" s="48">
        <f>VLOOKUP($A94,'Página15'!$A$1:$O$27,COLUMN(),TRUE)</f>
        <v>0.100559985</v>
      </c>
      <c r="L94" s="48">
        <f>VLOOKUP($A94,'Página15'!$A$1:$O$27,COLUMN(),TRUE)</f>
        <v>0.9978016275</v>
      </c>
      <c r="M94" s="48">
        <f>VLOOKUP($A94,'Página15'!$A$1:$O$27,COLUMN(),TRUE)</f>
        <v>0.4487280191</v>
      </c>
      <c r="N94" s="48">
        <f>VLOOKUP($A94,'Página15'!$A$1:$O$27,COLUMN(),TRUE)</f>
        <v>0.9977993631</v>
      </c>
      <c r="O94" s="48">
        <f>VLOOKUP($A94,'Página15'!$A$1:$O$27,COLUMN(),TRUE)</f>
        <v>0.1132209009</v>
      </c>
      <c r="P94" s="73">
        <f t="shared" si="5"/>
        <v>2023</v>
      </c>
      <c r="Q94" s="73">
        <f t="shared" si="6"/>
        <v>9</v>
      </c>
    </row>
    <row r="95">
      <c r="A95" s="34">
        <v>45200.0</v>
      </c>
      <c r="B95" s="48">
        <f t="shared" si="7"/>
        <v>1.386175001</v>
      </c>
      <c r="C95" s="48">
        <f t="shared" si="2"/>
        <v>1.088090905</v>
      </c>
      <c r="D95" s="48">
        <f>IF(MONTH($A95)=12,2.333,1)*VLOOKUP($A95,'Página15'!$A$1:$O$27,COLUMN(),TRUE)</f>
        <v>1</v>
      </c>
      <c r="E95" s="48">
        <f t="shared" si="8"/>
        <v>1.435311556</v>
      </c>
      <c r="F95" s="48">
        <f t="shared" si="4"/>
        <v>1.099698199</v>
      </c>
      <c r="G95" s="48">
        <f>IF(MONTH($A95)=12,2.333,1)*VLOOKUP($A95,'Página15'!$A$1:$O$27,COLUMN(),TRUE)</f>
        <v>1</v>
      </c>
      <c r="H95" s="48">
        <f>VLOOKUP($A95,'Página15'!$A$1:$O$27,COLUMN(),TRUE)</f>
        <v>0.9975895772</v>
      </c>
      <c r="I95" s="48">
        <f>VLOOKUP($A95,'Página15'!$A$1:$O$27,COLUMN(),TRUE)</f>
        <v>0.3985490535</v>
      </c>
      <c r="J95" s="48">
        <f>VLOOKUP($A95,'Página15'!$A$1:$O$27,COLUMN(),TRUE)</f>
        <v>0.9975868956</v>
      </c>
      <c r="K95" s="48">
        <f>VLOOKUP($A95,'Página15'!$A$1:$O$27,COLUMN(),TRUE)</f>
        <v>0.100559985</v>
      </c>
      <c r="L95" s="48">
        <f>VLOOKUP($A95,'Página15'!$A$1:$O$27,COLUMN(),TRUE)</f>
        <v>0.9978016275</v>
      </c>
      <c r="M95" s="48">
        <f>VLOOKUP($A95,'Página15'!$A$1:$O$27,COLUMN(),TRUE)</f>
        <v>0.4487280191</v>
      </c>
      <c r="N95" s="48">
        <f>VLOOKUP($A95,'Página15'!$A$1:$O$27,COLUMN(),TRUE)</f>
        <v>0.9977993631</v>
      </c>
      <c r="O95" s="48">
        <f>VLOOKUP($A95,'Página15'!$A$1:$O$27,COLUMN(),TRUE)</f>
        <v>0.1132209009</v>
      </c>
      <c r="P95" s="73">
        <f t="shared" si="5"/>
        <v>2023</v>
      </c>
      <c r="Q95" s="73">
        <f t="shared" si="6"/>
        <v>10</v>
      </c>
    </row>
    <row r="96">
      <c r="A96" s="34">
        <v>45231.0</v>
      </c>
      <c r="B96" s="48">
        <f t="shared" si="7"/>
        <v>1.386175001</v>
      </c>
      <c r="C96" s="48">
        <f t="shared" si="2"/>
        <v>1.088090905</v>
      </c>
      <c r="D96" s="48">
        <f>IF(MONTH($A96)=12,2.333,1)*VLOOKUP($A96,'Página15'!$A$1:$O$27,COLUMN(),TRUE)</f>
        <v>1</v>
      </c>
      <c r="E96" s="48">
        <f t="shared" si="8"/>
        <v>1.435311556</v>
      </c>
      <c r="F96" s="48">
        <f t="shared" si="4"/>
        <v>1.099698199</v>
      </c>
      <c r="G96" s="48">
        <f>IF(MONTH($A96)=12,2.333,1)*VLOOKUP($A96,'Página15'!$A$1:$O$27,COLUMN(),TRUE)</f>
        <v>1</v>
      </c>
      <c r="H96" s="48">
        <f>VLOOKUP($A96,'Página15'!$A$1:$O$27,COLUMN(),TRUE)</f>
        <v>0.9975895772</v>
      </c>
      <c r="I96" s="48">
        <f>VLOOKUP($A96,'Página15'!$A$1:$O$27,COLUMN(),TRUE)</f>
        <v>0.3985490535</v>
      </c>
      <c r="J96" s="48">
        <f>VLOOKUP($A96,'Página15'!$A$1:$O$27,COLUMN(),TRUE)</f>
        <v>0.9975868956</v>
      </c>
      <c r="K96" s="48">
        <f>VLOOKUP($A96,'Página15'!$A$1:$O$27,COLUMN(),TRUE)</f>
        <v>0.100559985</v>
      </c>
      <c r="L96" s="48">
        <f>VLOOKUP($A96,'Página15'!$A$1:$O$27,COLUMN(),TRUE)</f>
        <v>0.9978016275</v>
      </c>
      <c r="M96" s="48">
        <f>VLOOKUP($A96,'Página15'!$A$1:$O$27,COLUMN(),TRUE)</f>
        <v>0.4487280191</v>
      </c>
      <c r="N96" s="48">
        <f>VLOOKUP($A96,'Página15'!$A$1:$O$27,COLUMN(),TRUE)</f>
        <v>0.9977993631</v>
      </c>
      <c r="O96" s="48">
        <f>VLOOKUP($A96,'Página15'!$A$1:$O$27,COLUMN(),TRUE)</f>
        <v>0.1132209009</v>
      </c>
      <c r="P96" s="73">
        <f t="shared" si="5"/>
        <v>2023</v>
      </c>
      <c r="Q96" s="73">
        <f t="shared" si="6"/>
        <v>11</v>
      </c>
    </row>
    <row r="97">
      <c r="A97" s="34">
        <v>45261.0</v>
      </c>
      <c r="B97" s="48">
        <f t="shared" si="7"/>
        <v>3.233946278</v>
      </c>
      <c r="C97" s="48">
        <f t="shared" si="2"/>
        <v>2.538516081</v>
      </c>
      <c r="D97" s="48">
        <f>IF(MONTH($A97)=12,2.333,1)*VLOOKUP($A97,'Página15'!$A$1:$O$27,COLUMN(),TRUE)</f>
        <v>2.333</v>
      </c>
      <c r="E97" s="48">
        <f t="shared" si="8"/>
        <v>3.348581859</v>
      </c>
      <c r="F97" s="48">
        <f t="shared" si="4"/>
        <v>2.565595899</v>
      </c>
      <c r="G97" s="48">
        <f>IF(MONTH($A97)=12,2.333,1)*VLOOKUP($A97,'Página15'!$A$1:$O$27,COLUMN(),TRUE)</f>
        <v>2.333</v>
      </c>
      <c r="H97" s="48">
        <f>VLOOKUP($A97,'Página15'!$A$1:$O$27,COLUMN(),TRUE)</f>
        <v>0.9975895772</v>
      </c>
      <c r="I97" s="48">
        <f>VLOOKUP($A97,'Página15'!$A$1:$O$27,COLUMN(),TRUE)</f>
        <v>0.3985490535</v>
      </c>
      <c r="J97" s="48">
        <f>VLOOKUP($A97,'Página15'!$A$1:$O$27,COLUMN(),TRUE)</f>
        <v>0.9975868956</v>
      </c>
      <c r="K97" s="48">
        <f>VLOOKUP($A97,'Página15'!$A$1:$O$27,COLUMN(),TRUE)</f>
        <v>0.100559985</v>
      </c>
      <c r="L97" s="48">
        <f>VLOOKUP($A97,'Página15'!$A$1:$O$27,COLUMN(),TRUE)</f>
        <v>0.9978016275</v>
      </c>
      <c r="M97" s="48">
        <f>VLOOKUP($A97,'Página15'!$A$1:$O$27,COLUMN(),TRUE)</f>
        <v>0.4487280191</v>
      </c>
      <c r="N97" s="48">
        <f>VLOOKUP($A97,'Página15'!$A$1:$O$27,COLUMN(),TRUE)</f>
        <v>0.9977993631</v>
      </c>
      <c r="O97" s="48">
        <f>VLOOKUP($A97,'Página15'!$A$1:$O$27,COLUMN(),TRUE)</f>
        <v>0.1132209009</v>
      </c>
      <c r="P97" s="73">
        <f t="shared" si="5"/>
        <v>2023</v>
      </c>
      <c r="Q97" s="73">
        <f t="shared" si="6"/>
        <v>12</v>
      </c>
    </row>
    <row r="98">
      <c r="A98" s="34">
        <v>45292.0</v>
      </c>
      <c r="B98" s="48">
        <f t="shared" si="7"/>
        <v>1.386175001</v>
      </c>
      <c r="C98" s="48">
        <f t="shared" si="2"/>
        <v>1.088090905</v>
      </c>
      <c r="D98" s="48">
        <f>IF(MONTH($A98)=12,2.333,1)*VLOOKUP($A98,'Página15'!$A$1:$O$27,COLUMN(),TRUE)</f>
        <v>1</v>
      </c>
      <c r="E98" s="48">
        <f t="shared" si="8"/>
        <v>1.434623949</v>
      </c>
      <c r="F98" s="48">
        <f t="shared" si="4"/>
        <v>1.099540719</v>
      </c>
      <c r="G98" s="48">
        <f>IF(MONTH($A98)=12,2.333,1)*VLOOKUP($A98,'Página15'!$A$1:$O$27,COLUMN(),TRUE)</f>
        <v>1</v>
      </c>
      <c r="H98" s="48">
        <f>VLOOKUP($A98,'Página15'!$A$1:$O$27,COLUMN(),TRUE)</f>
        <v>0.9975895772</v>
      </c>
      <c r="I98" s="48">
        <f>VLOOKUP($A98,'Página15'!$A$1:$O$27,COLUMN(),TRUE)</f>
        <v>0.3985490535</v>
      </c>
      <c r="J98" s="48">
        <f>VLOOKUP($A98,'Página15'!$A$1:$O$27,COLUMN(),TRUE)</f>
        <v>0.9975868956</v>
      </c>
      <c r="K98" s="48">
        <f>VLOOKUP($A98,'Página15'!$A$1:$O$27,COLUMN(),TRUE)</f>
        <v>0.100559985</v>
      </c>
      <c r="L98" s="48">
        <f>VLOOKUP($A98,'Página15'!$A$1:$O$27,COLUMN(),TRUE)</f>
        <v>0.9978051</v>
      </c>
      <c r="M98" s="48">
        <f>VLOOKUP($A98,'Página15'!$A$1:$O$27,COLUMN(),TRUE)</f>
        <v>0.4480192199</v>
      </c>
      <c r="N98" s="48">
        <f>VLOOKUP($A98,'Página15'!$A$1:$O$27,COLUMN(),TRUE)</f>
        <v>0.9978028392</v>
      </c>
      <c r="O98" s="48">
        <f>VLOOKUP($A98,'Página15'!$A$1:$O$27,COLUMN(),TRUE)</f>
        <v>0.1130420601</v>
      </c>
      <c r="P98" s="73">
        <f t="shared" si="5"/>
        <v>2024</v>
      </c>
      <c r="Q98" s="73">
        <f t="shared" si="6"/>
        <v>1</v>
      </c>
    </row>
    <row r="99">
      <c r="A99" s="34">
        <v>45323.0</v>
      </c>
      <c r="B99" s="48">
        <f t="shared" si="7"/>
        <v>1.463226092</v>
      </c>
      <c r="C99" s="48">
        <f t="shared" si="2"/>
        <v>1.133342909</v>
      </c>
      <c r="D99" s="48">
        <f>IF(MONTH($A99)=12,2.333,1)*VLOOKUP($A99,'Página15'!$A$1:$O$27,COLUMN(),TRUE)</f>
        <v>1</v>
      </c>
      <c r="E99" s="48">
        <f t="shared" si="8"/>
        <v>1.520940149</v>
      </c>
      <c r="F99" s="48">
        <f t="shared" si="4"/>
        <v>1.150323405</v>
      </c>
      <c r="G99" s="48">
        <f>IF(MONTH($A99)=12,2.333,1)*VLOOKUP($A99,'Página15'!$A$1:$O$27,COLUMN(),TRUE)</f>
        <v>1</v>
      </c>
      <c r="H99" s="48">
        <f>VLOOKUP($A99,'Página15'!$A$1:$O$27,COLUMN(),TRUE)</f>
        <v>0.9975895772</v>
      </c>
      <c r="I99" s="48">
        <f>VLOOKUP($A99,'Página15'!$A$1:$O$27,COLUMN(),TRUE)</f>
        <v>0.4775757937</v>
      </c>
      <c r="J99" s="48">
        <f>VLOOKUP($A99,'Página15'!$A$1:$O$27,COLUMN(),TRUE)</f>
        <v>0.9975868956</v>
      </c>
      <c r="K99" s="48">
        <f>VLOOKUP($A99,'Página15'!$A$1:$O$27,COLUMN(),TRUE)</f>
        <v>0.1508399776</v>
      </c>
      <c r="L99" s="48">
        <f>VLOOKUP($A99,'Página15'!$A$1:$O$27,COLUMN(),TRUE)</f>
        <v>0.9978063587</v>
      </c>
      <c r="M99" s="48">
        <f>VLOOKUP($A99,'Página15'!$A$1:$O$27,COLUMN(),TRUE)</f>
        <v>0.5365473435</v>
      </c>
      <c r="N99" s="48">
        <f>VLOOKUP($A99,'Página15'!$A$1:$O$27,COLUMN(),TRUE)</f>
        <v>0.9978040991</v>
      </c>
      <c r="O99" s="48">
        <f>VLOOKUP($A99,'Página15'!$A$1:$O$27,COLUMN(),TRUE)</f>
        <v>0.169465853</v>
      </c>
      <c r="P99" s="73">
        <f t="shared" si="5"/>
        <v>2024</v>
      </c>
      <c r="Q99" s="73">
        <f t="shared" si="6"/>
        <v>2</v>
      </c>
    </row>
    <row r="100">
      <c r="A100" s="34">
        <v>45352.0</v>
      </c>
      <c r="B100" s="48">
        <f t="shared" si="7"/>
        <v>1.463226092</v>
      </c>
      <c r="C100" s="48">
        <f t="shared" si="2"/>
        <v>1.133342909</v>
      </c>
      <c r="D100" s="48">
        <f>IF(MONTH($A100)=12,2.333,1)*VLOOKUP($A100,'Página15'!$A$1:$O$27,COLUMN(),TRUE)</f>
        <v>1</v>
      </c>
      <c r="E100" s="48">
        <f t="shared" si="8"/>
        <v>1.520940149</v>
      </c>
      <c r="F100" s="48">
        <f t="shared" si="4"/>
        <v>1.150323405</v>
      </c>
      <c r="G100" s="48">
        <f>IF(MONTH($A100)=12,2.333,1)*VLOOKUP($A100,'Página15'!$A$1:$O$27,COLUMN(),TRUE)</f>
        <v>1</v>
      </c>
      <c r="H100" s="48">
        <f>VLOOKUP($A100,'Página15'!$A$1:$O$27,COLUMN(),TRUE)</f>
        <v>0.9975895772</v>
      </c>
      <c r="I100" s="48">
        <f>VLOOKUP($A100,'Página15'!$A$1:$O$27,COLUMN(),TRUE)</f>
        <v>0.4775757937</v>
      </c>
      <c r="J100" s="48">
        <f>VLOOKUP($A100,'Página15'!$A$1:$O$27,COLUMN(),TRUE)</f>
        <v>0.9975868956</v>
      </c>
      <c r="K100" s="48">
        <f>VLOOKUP($A100,'Página15'!$A$1:$O$27,COLUMN(),TRUE)</f>
        <v>0.1508399776</v>
      </c>
      <c r="L100" s="48">
        <f>VLOOKUP($A100,'Página15'!$A$1:$O$27,COLUMN(),TRUE)</f>
        <v>0.9978063587</v>
      </c>
      <c r="M100" s="48">
        <f>VLOOKUP($A100,'Página15'!$A$1:$O$27,COLUMN(),TRUE)</f>
        <v>0.5365473435</v>
      </c>
      <c r="N100" s="48">
        <f>VLOOKUP($A100,'Página15'!$A$1:$O$27,COLUMN(),TRUE)</f>
        <v>0.9978040991</v>
      </c>
      <c r="O100" s="48">
        <f>VLOOKUP($A100,'Página15'!$A$1:$O$27,COLUMN(),TRUE)</f>
        <v>0.169465853</v>
      </c>
      <c r="P100" s="73">
        <f t="shared" si="5"/>
        <v>2024</v>
      </c>
      <c r="Q100" s="73">
        <f t="shared" si="6"/>
        <v>3</v>
      </c>
    </row>
    <row r="101">
      <c r="A101" s="34">
        <v>45383.0</v>
      </c>
      <c r="B101" s="48">
        <f t="shared" si="7"/>
        <v>1.463226092</v>
      </c>
      <c r="C101" s="48">
        <f t="shared" si="2"/>
        <v>1.133342909</v>
      </c>
      <c r="D101" s="48">
        <f>IF(MONTH($A101)=12,2.333,1)*VLOOKUP($A101,'Página15'!$A$1:$O$27,COLUMN(),TRUE)</f>
        <v>1</v>
      </c>
      <c r="E101" s="48">
        <f t="shared" si="8"/>
        <v>1.520940149</v>
      </c>
      <c r="F101" s="48">
        <f t="shared" si="4"/>
        <v>1.150323405</v>
      </c>
      <c r="G101" s="48">
        <f>IF(MONTH($A101)=12,2.333,1)*VLOOKUP($A101,'Página15'!$A$1:$O$27,COLUMN(),TRUE)</f>
        <v>1</v>
      </c>
      <c r="H101" s="48">
        <f>VLOOKUP($A101,'Página15'!$A$1:$O$27,COLUMN(),TRUE)</f>
        <v>0.9975895772</v>
      </c>
      <c r="I101" s="48">
        <f>VLOOKUP($A101,'Página15'!$A$1:$O$27,COLUMN(),TRUE)</f>
        <v>0.4775757937</v>
      </c>
      <c r="J101" s="48">
        <f>VLOOKUP($A101,'Página15'!$A$1:$O$27,COLUMN(),TRUE)</f>
        <v>0.9975868956</v>
      </c>
      <c r="K101" s="48">
        <f>VLOOKUP($A101,'Página15'!$A$1:$O$27,COLUMN(),TRUE)</f>
        <v>0.1508399776</v>
      </c>
      <c r="L101" s="48">
        <f>VLOOKUP($A101,'Página15'!$A$1:$O$27,COLUMN(),TRUE)</f>
        <v>0.9978063587</v>
      </c>
      <c r="M101" s="48">
        <f>VLOOKUP($A101,'Página15'!$A$1:$O$27,COLUMN(),TRUE)</f>
        <v>0.5365473435</v>
      </c>
      <c r="N101" s="48">
        <f>VLOOKUP($A101,'Página15'!$A$1:$O$27,COLUMN(),TRUE)</f>
        <v>0.9978040991</v>
      </c>
      <c r="O101" s="48">
        <f>VLOOKUP($A101,'Página15'!$A$1:$O$27,COLUMN(),TRUE)</f>
        <v>0.169465853</v>
      </c>
      <c r="P101" s="73">
        <f t="shared" si="5"/>
        <v>2024</v>
      </c>
      <c r="Q101" s="73">
        <f t="shared" si="6"/>
        <v>4</v>
      </c>
    </row>
    <row r="102">
      <c r="A102" s="34">
        <v>45413.0</v>
      </c>
      <c r="B102" s="48">
        <f t="shared" si="7"/>
        <v>1.463226092</v>
      </c>
      <c r="C102" s="48">
        <f t="shared" si="2"/>
        <v>1.133342909</v>
      </c>
      <c r="D102" s="48">
        <f>IF(MONTH($A102)=12,2.333,1)*VLOOKUP($A102,'Página15'!$A$1:$O$27,COLUMN(),TRUE)</f>
        <v>1</v>
      </c>
      <c r="E102" s="48">
        <f t="shared" si="8"/>
        <v>1.520940149</v>
      </c>
      <c r="F102" s="48">
        <f t="shared" si="4"/>
        <v>1.150323405</v>
      </c>
      <c r="G102" s="48">
        <f>IF(MONTH($A102)=12,2.333,1)*VLOOKUP($A102,'Página15'!$A$1:$O$27,COLUMN(),TRUE)</f>
        <v>1</v>
      </c>
      <c r="H102" s="48">
        <f>VLOOKUP($A102,'Página15'!$A$1:$O$27,COLUMN(),TRUE)</f>
        <v>0.9975895772</v>
      </c>
      <c r="I102" s="48">
        <f>VLOOKUP($A102,'Página15'!$A$1:$O$27,COLUMN(),TRUE)</f>
        <v>0.4775757937</v>
      </c>
      <c r="J102" s="48">
        <f>VLOOKUP($A102,'Página15'!$A$1:$O$27,COLUMN(),TRUE)</f>
        <v>0.9975868956</v>
      </c>
      <c r="K102" s="48">
        <f>VLOOKUP($A102,'Página15'!$A$1:$O$27,COLUMN(),TRUE)</f>
        <v>0.1508399776</v>
      </c>
      <c r="L102" s="48">
        <f>VLOOKUP($A102,'Página15'!$A$1:$O$27,COLUMN(),TRUE)</f>
        <v>0.9978063587</v>
      </c>
      <c r="M102" s="48">
        <f>VLOOKUP($A102,'Página15'!$A$1:$O$27,COLUMN(),TRUE)</f>
        <v>0.5365473435</v>
      </c>
      <c r="N102" s="48">
        <f>VLOOKUP($A102,'Página15'!$A$1:$O$27,COLUMN(),TRUE)</f>
        <v>0.9978040991</v>
      </c>
      <c r="O102" s="48">
        <f>VLOOKUP($A102,'Página15'!$A$1:$O$27,COLUMN(),TRUE)</f>
        <v>0.169465853</v>
      </c>
      <c r="P102" s="73">
        <f t="shared" si="5"/>
        <v>2024</v>
      </c>
      <c r="Q102" s="73">
        <f t="shared" si="6"/>
        <v>5</v>
      </c>
    </row>
    <row r="103">
      <c r="A103" s="34">
        <v>45444.0</v>
      </c>
      <c r="B103" s="48">
        <f t="shared" si="7"/>
        <v>1.463226092</v>
      </c>
      <c r="C103" s="48">
        <f t="shared" si="2"/>
        <v>1.133342909</v>
      </c>
      <c r="D103" s="48">
        <f>IF(MONTH($A103)=12,2.333,1)*VLOOKUP($A103,'Página15'!$A$1:$O$27,COLUMN(),TRUE)</f>
        <v>1</v>
      </c>
      <c r="E103" s="48">
        <f t="shared" si="8"/>
        <v>1.520940149</v>
      </c>
      <c r="F103" s="48">
        <f t="shared" si="4"/>
        <v>1.150323405</v>
      </c>
      <c r="G103" s="48">
        <f>IF(MONTH($A103)=12,2.333,1)*VLOOKUP($A103,'Página15'!$A$1:$O$27,COLUMN(),TRUE)</f>
        <v>1</v>
      </c>
      <c r="H103" s="48">
        <f>VLOOKUP($A103,'Página15'!$A$1:$O$27,COLUMN(),TRUE)</f>
        <v>0.9975895772</v>
      </c>
      <c r="I103" s="48">
        <f>VLOOKUP($A103,'Página15'!$A$1:$O$27,COLUMN(),TRUE)</f>
        <v>0.4775757937</v>
      </c>
      <c r="J103" s="48">
        <f>VLOOKUP($A103,'Página15'!$A$1:$O$27,COLUMN(),TRUE)</f>
        <v>0.9975868956</v>
      </c>
      <c r="K103" s="48">
        <f>VLOOKUP($A103,'Página15'!$A$1:$O$27,COLUMN(),TRUE)</f>
        <v>0.1508399776</v>
      </c>
      <c r="L103" s="48">
        <f>VLOOKUP($A103,'Página15'!$A$1:$O$27,COLUMN(),TRUE)</f>
        <v>0.9978063587</v>
      </c>
      <c r="M103" s="48">
        <f>VLOOKUP($A103,'Página15'!$A$1:$O$27,COLUMN(),TRUE)</f>
        <v>0.5365473435</v>
      </c>
      <c r="N103" s="48">
        <f>VLOOKUP($A103,'Página15'!$A$1:$O$27,COLUMN(),TRUE)</f>
        <v>0.9978040991</v>
      </c>
      <c r="O103" s="48">
        <f>VLOOKUP($A103,'Página15'!$A$1:$O$27,COLUMN(),TRUE)</f>
        <v>0.169465853</v>
      </c>
      <c r="P103" s="73">
        <f t="shared" si="5"/>
        <v>2024</v>
      </c>
      <c r="Q103" s="73">
        <f t="shared" si="6"/>
        <v>6</v>
      </c>
    </row>
    <row r="104">
      <c r="A104" s="34">
        <v>45474.0</v>
      </c>
      <c r="B104" s="48">
        <f t="shared" si="7"/>
        <v>1.463226092</v>
      </c>
      <c r="C104" s="48">
        <f t="shared" si="2"/>
        <v>1.133342909</v>
      </c>
      <c r="D104" s="48">
        <f>IF(MONTH($A104)=12,2.333,1)*VLOOKUP($A104,'Página15'!$A$1:$O$27,COLUMN(),TRUE)</f>
        <v>1</v>
      </c>
      <c r="E104" s="48">
        <f t="shared" si="8"/>
        <v>1.520940149</v>
      </c>
      <c r="F104" s="48">
        <f t="shared" si="4"/>
        <v>1.150323405</v>
      </c>
      <c r="G104" s="48">
        <f>IF(MONTH($A104)=12,2.333,1)*VLOOKUP($A104,'Página15'!$A$1:$O$27,COLUMN(),TRUE)</f>
        <v>1</v>
      </c>
      <c r="H104" s="48">
        <f>VLOOKUP($A104,'Página15'!$A$1:$O$27,COLUMN(),TRUE)</f>
        <v>0.9975895772</v>
      </c>
      <c r="I104" s="48">
        <f>VLOOKUP($A104,'Página15'!$A$1:$O$27,COLUMN(),TRUE)</f>
        <v>0.4775757937</v>
      </c>
      <c r="J104" s="48">
        <f>VLOOKUP($A104,'Página15'!$A$1:$O$27,COLUMN(),TRUE)</f>
        <v>0.9975868956</v>
      </c>
      <c r="K104" s="48">
        <f>VLOOKUP($A104,'Página15'!$A$1:$O$27,COLUMN(),TRUE)</f>
        <v>0.1508399776</v>
      </c>
      <c r="L104" s="48">
        <f>VLOOKUP($A104,'Página15'!$A$1:$O$27,COLUMN(),TRUE)</f>
        <v>0.9978063587</v>
      </c>
      <c r="M104" s="48">
        <f>VLOOKUP($A104,'Página15'!$A$1:$O$27,COLUMN(),TRUE)</f>
        <v>0.5365473435</v>
      </c>
      <c r="N104" s="48">
        <f>VLOOKUP($A104,'Página15'!$A$1:$O$27,COLUMN(),TRUE)</f>
        <v>0.9978040991</v>
      </c>
      <c r="O104" s="48">
        <f>VLOOKUP($A104,'Página15'!$A$1:$O$27,COLUMN(),TRUE)</f>
        <v>0.169465853</v>
      </c>
      <c r="P104" s="73">
        <f t="shared" si="5"/>
        <v>2024</v>
      </c>
      <c r="Q104" s="73">
        <f t="shared" si="6"/>
        <v>7</v>
      </c>
    </row>
    <row r="105">
      <c r="A105" s="34">
        <v>45505.0</v>
      </c>
      <c r="B105" s="48">
        <f t="shared" si="7"/>
        <v>1.463226092</v>
      </c>
      <c r="C105" s="48">
        <f t="shared" si="2"/>
        <v>1.148426911</v>
      </c>
      <c r="D105" s="48">
        <f>IF(MONTH($A105)=12,2.333,1)*VLOOKUP($A105,'Página15'!$A$1:$O$27,COLUMN(),TRUE)</f>
        <v>1</v>
      </c>
      <c r="E105" s="48">
        <f t="shared" si="8"/>
        <v>1.520940149</v>
      </c>
      <c r="F105" s="48">
        <f t="shared" si="4"/>
        <v>1.167269994</v>
      </c>
      <c r="G105" s="48">
        <f>IF(MONTH($A105)=12,2.333,1)*VLOOKUP($A105,'Página15'!$A$1:$O$27,COLUMN(),TRUE)</f>
        <v>1</v>
      </c>
      <c r="H105" s="48">
        <f>VLOOKUP($A105,'Página15'!$A$1:$O$27,COLUMN(),TRUE)</f>
        <v>0.9975895772</v>
      </c>
      <c r="I105" s="48">
        <f>VLOOKUP($A105,'Página15'!$A$1:$O$27,COLUMN(),TRUE)</f>
        <v>0.4775757937</v>
      </c>
      <c r="J105" s="48">
        <f>VLOOKUP($A105,'Página15'!$A$1:$O$27,COLUMN(),TRUE)</f>
        <v>0.9975868956</v>
      </c>
      <c r="K105" s="48">
        <f>VLOOKUP($A105,'Página15'!$A$1:$O$27,COLUMN(),TRUE)</f>
        <v>0.1675999751</v>
      </c>
      <c r="L105" s="48">
        <f>VLOOKUP($A105,'Página15'!$A$1:$O$27,COLUMN(),TRUE)</f>
        <v>0.9978063587</v>
      </c>
      <c r="M105" s="48">
        <f>VLOOKUP($A105,'Página15'!$A$1:$O$27,COLUMN(),TRUE)</f>
        <v>0.5365473435</v>
      </c>
      <c r="N105" s="48">
        <f>VLOOKUP($A105,'Página15'!$A$1:$O$27,COLUMN(),TRUE)</f>
        <v>0.9978040991</v>
      </c>
      <c r="O105" s="48">
        <f>VLOOKUP($A105,'Página15'!$A$1:$O$27,COLUMN(),TRUE)</f>
        <v>0.1882953922</v>
      </c>
      <c r="P105" s="73">
        <f t="shared" si="5"/>
        <v>2024</v>
      </c>
      <c r="Q105" s="73">
        <f t="shared" si="6"/>
        <v>8</v>
      </c>
    </row>
    <row r="106">
      <c r="A106" s="34">
        <v>45536.0</v>
      </c>
      <c r="B106" s="48">
        <f t="shared" si="7"/>
        <v>1.463226092</v>
      </c>
      <c r="C106" s="48">
        <f t="shared" si="2"/>
        <v>1.148426911</v>
      </c>
      <c r="D106" s="48">
        <f>IF(MONTH($A106)=12,2.333,1)*VLOOKUP($A106,'Página15'!$A$1:$O$27,COLUMN(),TRUE)</f>
        <v>1</v>
      </c>
      <c r="E106" s="48">
        <f t="shared" si="8"/>
        <v>1.520940149</v>
      </c>
      <c r="F106" s="48">
        <f t="shared" si="4"/>
        <v>1.167269994</v>
      </c>
      <c r="G106" s="48">
        <f>IF(MONTH($A106)=12,2.333,1)*VLOOKUP($A106,'Página15'!$A$1:$O$27,COLUMN(),TRUE)</f>
        <v>1</v>
      </c>
      <c r="H106" s="48">
        <f>VLOOKUP($A106,'Página15'!$A$1:$O$27,COLUMN(),TRUE)</f>
        <v>0.9975895772</v>
      </c>
      <c r="I106" s="48">
        <f>VLOOKUP($A106,'Página15'!$A$1:$O$27,COLUMN(),TRUE)</f>
        <v>0.4775757937</v>
      </c>
      <c r="J106" s="48">
        <f>VLOOKUP($A106,'Página15'!$A$1:$O$27,COLUMN(),TRUE)</f>
        <v>0.9975868956</v>
      </c>
      <c r="K106" s="48">
        <f>VLOOKUP($A106,'Página15'!$A$1:$O$27,COLUMN(),TRUE)</f>
        <v>0.1675999751</v>
      </c>
      <c r="L106" s="48">
        <f>VLOOKUP($A106,'Página15'!$A$1:$O$27,COLUMN(),TRUE)</f>
        <v>0.9978063587</v>
      </c>
      <c r="M106" s="48">
        <f>VLOOKUP($A106,'Página15'!$A$1:$O$27,COLUMN(),TRUE)</f>
        <v>0.5365473435</v>
      </c>
      <c r="N106" s="48">
        <f>VLOOKUP($A106,'Página15'!$A$1:$O$27,COLUMN(),TRUE)</f>
        <v>0.9978040991</v>
      </c>
      <c r="O106" s="48">
        <f>VLOOKUP($A106,'Página15'!$A$1:$O$27,COLUMN(),TRUE)</f>
        <v>0.1882953922</v>
      </c>
      <c r="P106" s="73">
        <f t="shared" si="5"/>
        <v>2024</v>
      </c>
      <c r="Q106" s="73">
        <f t="shared" si="6"/>
        <v>9</v>
      </c>
    </row>
    <row r="107">
      <c r="A107" s="34">
        <v>45566.0</v>
      </c>
      <c r="B107" s="48">
        <f t="shared" si="7"/>
        <v>1.463226092</v>
      </c>
      <c r="C107" s="48">
        <f t="shared" si="2"/>
        <v>1.148426911</v>
      </c>
      <c r="D107" s="48">
        <f>IF(MONTH($A107)=12,2.333,1)*VLOOKUP($A107,'Página15'!$A$1:$O$27,COLUMN(),TRUE)</f>
        <v>1</v>
      </c>
      <c r="E107" s="48">
        <f t="shared" si="8"/>
        <v>1.520940149</v>
      </c>
      <c r="F107" s="48">
        <f t="shared" si="4"/>
        <v>1.167269994</v>
      </c>
      <c r="G107" s="48">
        <f>IF(MONTH($A107)=12,2.333,1)*VLOOKUP($A107,'Página15'!$A$1:$O$27,COLUMN(),TRUE)</f>
        <v>1</v>
      </c>
      <c r="H107" s="48">
        <f>VLOOKUP($A107,'Página15'!$A$1:$O$27,COLUMN(),TRUE)</f>
        <v>0.9975895772</v>
      </c>
      <c r="I107" s="48">
        <f>VLOOKUP($A107,'Página15'!$A$1:$O$27,COLUMN(),TRUE)</f>
        <v>0.4775757937</v>
      </c>
      <c r="J107" s="48">
        <f>VLOOKUP($A107,'Página15'!$A$1:$O$27,COLUMN(),TRUE)</f>
        <v>0.9975868956</v>
      </c>
      <c r="K107" s="48">
        <f>VLOOKUP($A107,'Página15'!$A$1:$O$27,COLUMN(),TRUE)</f>
        <v>0.1675999751</v>
      </c>
      <c r="L107" s="48">
        <f>VLOOKUP($A107,'Página15'!$A$1:$O$27,COLUMN(),TRUE)</f>
        <v>0.9978063587</v>
      </c>
      <c r="M107" s="48">
        <f>VLOOKUP($A107,'Página15'!$A$1:$O$27,COLUMN(),TRUE)</f>
        <v>0.5365473435</v>
      </c>
      <c r="N107" s="48">
        <f>VLOOKUP($A107,'Página15'!$A$1:$O$27,COLUMN(),TRUE)</f>
        <v>0.9978040991</v>
      </c>
      <c r="O107" s="48">
        <f>VLOOKUP($A107,'Página15'!$A$1:$O$27,COLUMN(),TRUE)</f>
        <v>0.1882953922</v>
      </c>
      <c r="P107" s="73">
        <f t="shared" si="5"/>
        <v>2024</v>
      </c>
      <c r="Q107" s="73">
        <f t="shared" si="6"/>
        <v>10</v>
      </c>
    </row>
    <row r="108">
      <c r="A108" s="34">
        <v>45597.0</v>
      </c>
      <c r="B108" s="48">
        <f t="shared" si="7"/>
        <v>1.463226092</v>
      </c>
      <c r="C108" s="48">
        <f t="shared" si="2"/>
        <v>1.148426911</v>
      </c>
      <c r="D108" s="48">
        <f>IF(MONTH($A108)=12,2.333,1)*VLOOKUP($A108,'Página15'!$A$1:$O$27,COLUMN(),TRUE)</f>
        <v>1</v>
      </c>
      <c r="E108" s="48">
        <f t="shared" si="8"/>
        <v>1.520940149</v>
      </c>
      <c r="F108" s="48">
        <f t="shared" si="4"/>
        <v>1.167269994</v>
      </c>
      <c r="G108" s="48">
        <f>IF(MONTH($A108)=12,2.333,1)*VLOOKUP($A108,'Página15'!$A$1:$O$27,COLUMN(),TRUE)</f>
        <v>1</v>
      </c>
      <c r="H108" s="48">
        <f>VLOOKUP($A108,'Página15'!$A$1:$O$27,COLUMN(),TRUE)</f>
        <v>0.9975895772</v>
      </c>
      <c r="I108" s="48">
        <f>VLOOKUP($A108,'Página15'!$A$1:$O$27,COLUMN(),TRUE)</f>
        <v>0.4775757937</v>
      </c>
      <c r="J108" s="48">
        <f>VLOOKUP($A108,'Página15'!$A$1:$O$27,COLUMN(),TRUE)</f>
        <v>0.9975868956</v>
      </c>
      <c r="K108" s="48">
        <f>VLOOKUP($A108,'Página15'!$A$1:$O$27,COLUMN(),TRUE)</f>
        <v>0.1675999751</v>
      </c>
      <c r="L108" s="48">
        <f>VLOOKUP($A108,'Página15'!$A$1:$O$27,COLUMN(),TRUE)</f>
        <v>0.9978063587</v>
      </c>
      <c r="M108" s="48">
        <f>VLOOKUP($A108,'Página15'!$A$1:$O$27,COLUMN(),TRUE)</f>
        <v>0.5365473435</v>
      </c>
      <c r="N108" s="48">
        <f>VLOOKUP($A108,'Página15'!$A$1:$O$27,COLUMN(),TRUE)</f>
        <v>0.9978040991</v>
      </c>
      <c r="O108" s="48">
        <f>VLOOKUP($A108,'Página15'!$A$1:$O$27,COLUMN(),TRUE)</f>
        <v>0.1882953922</v>
      </c>
      <c r="P108" s="73">
        <f t="shared" si="5"/>
        <v>2024</v>
      </c>
      <c r="Q108" s="73">
        <f t="shared" si="6"/>
        <v>11</v>
      </c>
    </row>
    <row r="109">
      <c r="A109" s="34">
        <v>45627.0</v>
      </c>
      <c r="B109" s="48">
        <f t="shared" si="7"/>
        <v>3.413706474</v>
      </c>
      <c r="C109" s="48">
        <f t="shared" si="2"/>
        <v>2.679279983</v>
      </c>
      <c r="D109" s="48">
        <f>IF(MONTH($A109)=12,2.333,1)*VLOOKUP($A109,'Página15'!$A$1:$O$27,COLUMN(),TRUE)</f>
        <v>2.333</v>
      </c>
      <c r="E109" s="48">
        <f t="shared" si="8"/>
        <v>3.548353368</v>
      </c>
      <c r="F109" s="48">
        <f t="shared" si="4"/>
        <v>2.723240897</v>
      </c>
      <c r="G109" s="48">
        <f>IF(MONTH($A109)=12,2.333,1)*VLOOKUP($A109,'Página15'!$A$1:$O$27,COLUMN(),TRUE)</f>
        <v>2.333</v>
      </c>
      <c r="H109" s="48">
        <f>VLOOKUP($A109,'Página15'!$A$1:$O$27,COLUMN(),TRUE)</f>
        <v>0.9975895772</v>
      </c>
      <c r="I109" s="48">
        <f>VLOOKUP($A109,'Página15'!$A$1:$O$27,COLUMN(),TRUE)</f>
        <v>0.4775757937</v>
      </c>
      <c r="J109" s="48">
        <f>VLOOKUP($A109,'Página15'!$A$1:$O$27,COLUMN(),TRUE)</f>
        <v>0.9975868956</v>
      </c>
      <c r="K109" s="48">
        <f>VLOOKUP($A109,'Página15'!$A$1:$O$27,COLUMN(),TRUE)</f>
        <v>0.1675999751</v>
      </c>
      <c r="L109" s="48">
        <f>VLOOKUP($A109,'Página15'!$A$1:$O$27,COLUMN(),TRUE)</f>
        <v>0.9978063587</v>
      </c>
      <c r="M109" s="48">
        <f>VLOOKUP($A109,'Página15'!$A$1:$O$27,COLUMN(),TRUE)</f>
        <v>0.5365473435</v>
      </c>
      <c r="N109" s="48">
        <f>VLOOKUP($A109,'Página15'!$A$1:$O$27,COLUMN(),TRUE)</f>
        <v>0.9978040991</v>
      </c>
      <c r="O109" s="48">
        <f>VLOOKUP($A109,'Página15'!$A$1:$O$27,COLUMN(),TRUE)</f>
        <v>0.1882953922</v>
      </c>
      <c r="P109" s="73">
        <f t="shared" si="5"/>
        <v>2024</v>
      </c>
      <c r="Q109" s="73">
        <f t="shared" si="6"/>
        <v>12</v>
      </c>
    </row>
    <row r="110">
      <c r="A110" s="34">
        <v>45658.0</v>
      </c>
      <c r="B110" s="48">
        <f t="shared" si="7"/>
        <v>1.319355748</v>
      </c>
      <c r="C110" s="48">
        <f t="shared" si="2"/>
        <v>1.035508903</v>
      </c>
      <c r="D110" s="48">
        <f>IF(MONTH($A110)=12,2.333,1)*VLOOKUP($A110,'Página15'!$A$1:$O$27,COLUMN(),TRUE)</f>
        <v>1</v>
      </c>
      <c r="E110" s="48">
        <f t="shared" si="8"/>
        <v>1.383636464</v>
      </c>
      <c r="F110" s="48">
        <f t="shared" si="4"/>
        <v>1.061894071</v>
      </c>
      <c r="G110" s="48">
        <f>IF(MONTH($A110)=12,2.333,1)*VLOOKUP($A110,'Página15'!$A$1:$O$27,COLUMN(),TRUE)</f>
        <v>1</v>
      </c>
      <c r="H110" s="48">
        <f>VLOOKUP($A110,'Página15'!$A$1:$O$27,COLUMN(),TRUE)</f>
        <v>0.8995025101</v>
      </c>
      <c r="I110" s="48">
        <f>VLOOKUP($A110,'Página15'!$A$1:$O$27,COLUMN(),TRUE)</f>
        <v>0.4306185981</v>
      </c>
      <c r="J110" s="48">
        <f>VLOOKUP($A110,'Página15'!$A$1:$O$27,COLUMN(),TRUE)</f>
        <v>0.8995000922</v>
      </c>
      <c r="K110" s="48">
        <f>VLOOKUP($A110,'Página15'!$A$1:$O$27,COLUMN(),TRUE)</f>
        <v>0.1511208634</v>
      </c>
      <c r="L110" s="48">
        <f>VLOOKUP($A110,'Página15'!$A$1:$O$27,COLUMN(),TRUE)</f>
        <v>0.9077288558</v>
      </c>
      <c r="M110" s="48">
        <f>VLOOKUP($A110,'Página15'!$A$1:$O$27,COLUMN(),TRUE)</f>
        <v>0.488110245</v>
      </c>
      <c r="N110" s="48">
        <f>VLOOKUP($A110,'Página15'!$A$1:$O$27,COLUMN(),TRUE)</f>
        <v>0.9077268003</v>
      </c>
      <c r="O110" s="48">
        <f>VLOOKUP($A110,'Página15'!$A$1:$O$27,COLUMN(),TRUE)</f>
        <v>0.1712969249</v>
      </c>
      <c r="P110" s="73">
        <f t="shared" si="5"/>
        <v>2025</v>
      </c>
      <c r="Q110" s="73">
        <f t="shared" si="6"/>
        <v>1</v>
      </c>
    </row>
    <row r="111">
      <c r="A111" s="34">
        <v>45689.0</v>
      </c>
      <c r="B111" s="48">
        <f t="shared" si="7"/>
        <v>1.388832925</v>
      </c>
      <c r="C111" s="48">
        <f t="shared" si="2"/>
        <v>1.089912428</v>
      </c>
      <c r="D111" s="48">
        <f>IF(MONTH($A111)=12,2.333,1)*VLOOKUP($A111,'Página15'!$A$1:$O$27,COLUMN(),TRUE)</f>
        <v>1</v>
      </c>
      <c r="E111" s="48">
        <f t="shared" si="8"/>
        <v>1.462389499</v>
      </c>
      <c r="F111" s="48">
        <f t="shared" si="4"/>
        <v>1.12356098</v>
      </c>
      <c r="G111" s="48">
        <f>IF(MONTH($A111)=12,2.333,1)*VLOOKUP($A111,'Página15'!$A$1:$O$27,COLUMN(),TRUE)</f>
        <v>1</v>
      </c>
      <c r="H111" s="48">
        <f>VLOOKUP($A111,'Página15'!$A$1:$O$27,COLUMN(),TRUE)</f>
        <v>0.8995025101</v>
      </c>
      <c r="I111" s="48">
        <f>VLOOKUP($A111,'Página15'!$A$1:$O$27,COLUMN(),TRUE)</f>
        <v>0.5018772234</v>
      </c>
      <c r="J111" s="48">
        <f>VLOOKUP($A111,'Página15'!$A$1:$O$27,COLUMN(),TRUE)</f>
        <v>0.8995000922</v>
      </c>
      <c r="K111" s="48">
        <f>VLOOKUP($A111,'Página15'!$A$1:$O$27,COLUMN(),TRUE)</f>
        <v>0.2115692088</v>
      </c>
      <c r="L111" s="48">
        <f>VLOOKUP($A111,'Página15'!$A$1:$O$27,COLUMN(),TRUE)</f>
        <v>0.9077288558</v>
      </c>
      <c r="M111" s="48">
        <f>VLOOKUP($A111,'Página15'!$A$1:$O$27,COLUMN(),TRUE)</f>
        <v>0.5688825692</v>
      </c>
      <c r="N111" s="48">
        <f>VLOOKUP($A111,'Página15'!$A$1:$O$27,COLUMN(),TRUE)</f>
        <v>0.9077268003</v>
      </c>
      <c r="O111" s="48">
        <f>VLOOKUP($A111,'Página15'!$A$1:$O$27,COLUMN(),TRUE)</f>
        <v>0.2398156949</v>
      </c>
      <c r="P111" s="73">
        <f t="shared" si="5"/>
        <v>2025</v>
      </c>
      <c r="Q111" s="73">
        <f t="shared" si="6"/>
        <v>2</v>
      </c>
    </row>
    <row r="112">
      <c r="A112" s="34">
        <v>45717.0</v>
      </c>
      <c r="B112" s="48">
        <f t="shared" si="7"/>
        <v>1.388832925</v>
      </c>
      <c r="C112" s="48">
        <f t="shared" si="2"/>
        <v>1.089912428</v>
      </c>
      <c r="D112" s="48">
        <f>IF(MONTH($A112)=12,2.333,1)*VLOOKUP($A112,'Página15'!$A$1:$O$27,COLUMN(),TRUE)</f>
        <v>1</v>
      </c>
      <c r="E112" s="48">
        <f t="shared" si="8"/>
        <v>1.462389499</v>
      </c>
      <c r="F112" s="48">
        <f t="shared" si="4"/>
        <v>1.12356098</v>
      </c>
      <c r="G112" s="48">
        <f>IF(MONTH($A112)=12,2.333,1)*VLOOKUP($A112,'Página15'!$A$1:$O$27,COLUMN(),TRUE)</f>
        <v>1</v>
      </c>
      <c r="H112" s="48">
        <f>VLOOKUP($A112,'Página15'!$A$1:$O$27,COLUMN(),TRUE)</f>
        <v>0.8995025101</v>
      </c>
      <c r="I112" s="48">
        <f>VLOOKUP($A112,'Página15'!$A$1:$O$27,COLUMN(),TRUE)</f>
        <v>0.5018772234</v>
      </c>
      <c r="J112" s="48">
        <f>VLOOKUP($A112,'Página15'!$A$1:$O$27,COLUMN(),TRUE)</f>
        <v>0.8995000922</v>
      </c>
      <c r="K112" s="48">
        <f>VLOOKUP($A112,'Página15'!$A$1:$O$27,COLUMN(),TRUE)</f>
        <v>0.2115692088</v>
      </c>
      <c r="L112" s="48">
        <f>VLOOKUP($A112,'Página15'!$A$1:$O$27,COLUMN(),TRUE)</f>
        <v>0.9077288558</v>
      </c>
      <c r="M112" s="48">
        <f>VLOOKUP($A112,'Página15'!$A$1:$O$27,COLUMN(),TRUE)</f>
        <v>0.5688825692</v>
      </c>
      <c r="N112" s="48">
        <f>VLOOKUP($A112,'Página15'!$A$1:$O$27,COLUMN(),TRUE)</f>
        <v>0.9077268003</v>
      </c>
      <c r="O112" s="48">
        <f>VLOOKUP($A112,'Página15'!$A$1:$O$27,COLUMN(),TRUE)</f>
        <v>0.2398156949</v>
      </c>
      <c r="P112" s="73">
        <f t="shared" si="5"/>
        <v>2025</v>
      </c>
      <c r="Q112" s="73">
        <f t="shared" si="6"/>
        <v>3</v>
      </c>
    </row>
    <row r="113">
      <c r="A113" s="34">
        <v>45748.0</v>
      </c>
      <c r="B113" s="48">
        <f t="shared" si="7"/>
        <v>1.388832925</v>
      </c>
      <c r="C113" s="48">
        <f t="shared" si="2"/>
        <v>1.089912428</v>
      </c>
      <c r="D113" s="48">
        <f>IF(MONTH($A113)=12,2.333,1)*VLOOKUP($A113,'Página15'!$A$1:$O$27,COLUMN(),TRUE)</f>
        <v>1</v>
      </c>
      <c r="E113" s="48">
        <f t="shared" si="8"/>
        <v>1.462389499</v>
      </c>
      <c r="F113" s="48">
        <f t="shared" si="4"/>
        <v>1.12356098</v>
      </c>
      <c r="G113" s="48">
        <f>IF(MONTH($A113)=12,2.333,1)*VLOOKUP($A113,'Página15'!$A$1:$O$27,COLUMN(),TRUE)</f>
        <v>1</v>
      </c>
      <c r="H113" s="48">
        <f>VLOOKUP($A113,'Página15'!$A$1:$O$27,COLUMN(),TRUE)</f>
        <v>0.8995025101</v>
      </c>
      <c r="I113" s="48">
        <f>VLOOKUP($A113,'Página15'!$A$1:$O$27,COLUMN(),TRUE)</f>
        <v>0.5018772234</v>
      </c>
      <c r="J113" s="48">
        <f>VLOOKUP($A113,'Página15'!$A$1:$O$27,COLUMN(),TRUE)</f>
        <v>0.8995000922</v>
      </c>
      <c r="K113" s="48">
        <f>VLOOKUP($A113,'Página15'!$A$1:$O$27,COLUMN(),TRUE)</f>
        <v>0.2115692088</v>
      </c>
      <c r="L113" s="48">
        <f>VLOOKUP($A113,'Página15'!$A$1:$O$27,COLUMN(),TRUE)</f>
        <v>0.9077288558</v>
      </c>
      <c r="M113" s="48">
        <f>VLOOKUP($A113,'Página15'!$A$1:$O$27,COLUMN(),TRUE)</f>
        <v>0.5688825692</v>
      </c>
      <c r="N113" s="48">
        <f>VLOOKUP($A113,'Página15'!$A$1:$O$27,COLUMN(),TRUE)</f>
        <v>0.9077268003</v>
      </c>
      <c r="O113" s="48">
        <f>VLOOKUP($A113,'Página15'!$A$1:$O$27,COLUMN(),TRUE)</f>
        <v>0.2398156949</v>
      </c>
      <c r="P113" s="73">
        <f t="shared" si="5"/>
        <v>2025</v>
      </c>
      <c r="Q113" s="73">
        <f t="shared" si="6"/>
        <v>4</v>
      </c>
    </row>
    <row r="114">
      <c r="A114" s="34">
        <v>45778.0</v>
      </c>
      <c r="B114" s="48">
        <f t="shared" si="7"/>
        <v>1.388832925</v>
      </c>
      <c r="C114" s="48">
        <f t="shared" si="2"/>
        <v>1.089912428</v>
      </c>
      <c r="D114" s="48">
        <f>IF(MONTH($A114)=12,2.333,1)*VLOOKUP($A114,'Página15'!$A$1:$O$27,COLUMN(),TRUE)</f>
        <v>1</v>
      </c>
      <c r="E114" s="48">
        <f t="shared" si="8"/>
        <v>1.462389499</v>
      </c>
      <c r="F114" s="48">
        <f t="shared" si="4"/>
        <v>1.12356098</v>
      </c>
      <c r="G114" s="48">
        <f>IF(MONTH($A114)=12,2.333,1)*VLOOKUP($A114,'Página15'!$A$1:$O$27,COLUMN(),TRUE)</f>
        <v>1</v>
      </c>
      <c r="H114" s="48">
        <f>VLOOKUP($A114,'Página15'!$A$1:$O$27,COLUMN(),TRUE)</f>
        <v>0.8995025101</v>
      </c>
      <c r="I114" s="48">
        <f>VLOOKUP($A114,'Página15'!$A$1:$O$27,COLUMN(),TRUE)</f>
        <v>0.5018772234</v>
      </c>
      <c r="J114" s="48">
        <f>VLOOKUP($A114,'Página15'!$A$1:$O$27,COLUMN(),TRUE)</f>
        <v>0.8995000922</v>
      </c>
      <c r="K114" s="48">
        <f>VLOOKUP($A114,'Página15'!$A$1:$O$27,COLUMN(),TRUE)</f>
        <v>0.2115692088</v>
      </c>
      <c r="L114" s="48">
        <f>VLOOKUP($A114,'Página15'!$A$1:$O$27,COLUMN(),TRUE)</f>
        <v>0.9077288558</v>
      </c>
      <c r="M114" s="48">
        <f>VLOOKUP($A114,'Página15'!$A$1:$O$27,COLUMN(),TRUE)</f>
        <v>0.5688825692</v>
      </c>
      <c r="N114" s="48">
        <f>VLOOKUP($A114,'Página15'!$A$1:$O$27,COLUMN(),TRUE)</f>
        <v>0.9077268003</v>
      </c>
      <c r="O114" s="48">
        <f>VLOOKUP($A114,'Página15'!$A$1:$O$27,COLUMN(),TRUE)</f>
        <v>0.2398156949</v>
      </c>
      <c r="P114" s="73">
        <f t="shared" si="5"/>
        <v>2025</v>
      </c>
      <c r="Q114" s="73">
        <f t="shared" si="6"/>
        <v>5</v>
      </c>
    </row>
    <row r="115">
      <c r="A115" s="34">
        <v>45809.0</v>
      </c>
      <c r="B115" s="48">
        <f t="shared" si="7"/>
        <v>1.388832925</v>
      </c>
      <c r="C115" s="48">
        <f t="shared" si="2"/>
        <v>1.089912428</v>
      </c>
      <c r="D115" s="48">
        <f>IF(MONTH($A115)=12,2.333,1)*VLOOKUP($A115,'Página15'!$A$1:$O$27,COLUMN(),TRUE)</f>
        <v>1</v>
      </c>
      <c r="E115" s="48">
        <f t="shared" si="8"/>
        <v>1.462389499</v>
      </c>
      <c r="F115" s="48">
        <f t="shared" si="4"/>
        <v>1.12356098</v>
      </c>
      <c r="G115" s="48">
        <f>IF(MONTH($A115)=12,2.333,1)*VLOOKUP($A115,'Página15'!$A$1:$O$27,COLUMN(),TRUE)</f>
        <v>1</v>
      </c>
      <c r="H115" s="48">
        <f>VLOOKUP($A115,'Página15'!$A$1:$O$27,COLUMN(),TRUE)</f>
        <v>0.8995025101</v>
      </c>
      <c r="I115" s="48">
        <f>VLOOKUP($A115,'Página15'!$A$1:$O$27,COLUMN(),TRUE)</f>
        <v>0.5018772234</v>
      </c>
      <c r="J115" s="48">
        <f>VLOOKUP($A115,'Página15'!$A$1:$O$27,COLUMN(),TRUE)</f>
        <v>0.8995000922</v>
      </c>
      <c r="K115" s="48">
        <f>VLOOKUP($A115,'Página15'!$A$1:$O$27,COLUMN(),TRUE)</f>
        <v>0.2115692088</v>
      </c>
      <c r="L115" s="48">
        <f>VLOOKUP($A115,'Página15'!$A$1:$O$27,COLUMN(),TRUE)</f>
        <v>0.9077288558</v>
      </c>
      <c r="M115" s="48">
        <f>VLOOKUP($A115,'Página15'!$A$1:$O$27,COLUMN(),TRUE)</f>
        <v>0.5688825692</v>
      </c>
      <c r="N115" s="48">
        <f>VLOOKUP($A115,'Página15'!$A$1:$O$27,COLUMN(),TRUE)</f>
        <v>0.9077268003</v>
      </c>
      <c r="O115" s="48">
        <f>VLOOKUP($A115,'Página15'!$A$1:$O$27,COLUMN(),TRUE)</f>
        <v>0.2398156949</v>
      </c>
      <c r="P115" s="73">
        <f t="shared" si="5"/>
        <v>2025</v>
      </c>
      <c r="Q115" s="73">
        <f t="shared" si="6"/>
        <v>6</v>
      </c>
    </row>
    <row r="116">
      <c r="A116" s="34">
        <v>45839.0</v>
      </c>
      <c r="B116" s="48">
        <f t="shared" si="7"/>
        <v>1.388832925</v>
      </c>
      <c r="C116" s="48">
        <f t="shared" si="2"/>
        <v>1.089912428</v>
      </c>
      <c r="D116" s="48">
        <f>IF(MONTH($A116)=12,2.333,1)*VLOOKUP($A116,'Página15'!$A$1:$O$27,COLUMN(),TRUE)</f>
        <v>1</v>
      </c>
      <c r="E116" s="48">
        <f t="shared" si="8"/>
        <v>1.462389499</v>
      </c>
      <c r="F116" s="48">
        <f t="shared" si="4"/>
        <v>1.12356098</v>
      </c>
      <c r="G116" s="48">
        <f>IF(MONTH($A116)=12,2.333,1)*VLOOKUP($A116,'Página15'!$A$1:$O$27,COLUMN(),TRUE)</f>
        <v>1</v>
      </c>
      <c r="H116" s="48">
        <f>VLOOKUP($A116,'Página15'!$A$1:$O$27,COLUMN(),TRUE)</f>
        <v>0.8995025101</v>
      </c>
      <c r="I116" s="48">
        <f>VLOOKUP($A116,'Página15'!$A$1:$O$27,COLUMN(),TRUE)</f>
        <v>0.5018772234</v>
      </c>
      <c r="J116" s="48">
        <f>VLOOKUP($A116,'Página15'!$A$1:$O$27,COLUMN(),TRUE)</f>
        <v>0.8995000922</v>
      </c>
      <c r="K116" s="48">
        <f>VLOOKUP($A116,'Página15'!$A$1:$O$27,COLUMN(),TRUE)</f>
        <v>0.2115692088</v>
      </c>
      <c r="L116" s="48">
        <f>VLOOKUP($A116,'Página15'!$A$1:$O$27,COLUMN(),TRUE)</f>
        <v>0.9077288558</v>
      </c>
      <c r="M116" s="48">
        <f>VLOOKUP($A116,'Página15'!$A$1:$O$27,COLUMN(),TRUE)</f>
        <v>0.5688825692</v>
      </c>
      <c r="N116" s="48">
        <f>VLOOKUP($A116,'Página15'!$A$1:$O$27,COLUMN(),TRUE)</f>
        <v>0.9077268003</v>
      </c>
      <c r="O116" s="48">
        <f>VLOOKUP($A116,'Página15'!$A$1:$O$27,COLUMN(),TRUE)</f>
        <v>0.2398156949</v>
      </c>
      <c r="P116" s="73">
        <f t="shared" si="5"/>
        <v>2025</v>
      </c>
      <c r="Q116" s="73">
        <f t="shared" si="6"/>
        <v>7</v>
      </c>
    </row>
    <row r="117">
      <c r="A117" s="34">
        <v>45870.0</v>
      </c>
      <c r="B117" s="48">
        <f t="shared" si="7"/>
        <v>1.388832925</v>
      </c>
      <c r="C117" s="48">
        <f t="shared" si="2"/>
        <v>1.089912428</v>
      </c>
      <c r="D117" s="48">
        <f>IF(MONTH($A117)=12,2.333,1)*VLOOKUP($A117,'Página15'!$A$1:$O$27,COLUMN(),TRUE)</f>
        <v>1</v>
      </c>
      <c r="E117" s="48">
        <f t="shared" si="8"/>
        <v>1.462389499</v>
      </c>
      <c r="F117" s="48">
        <f t="shared" si="4"/>
        <v>1.12356098</v>
      </c>
      <c r="G117" s="48">
        <f>IF(MONTH($A117)=12,2.333,1)*VLOOKUP($A117,'Página15'!$A$1:$O$27,COLUMN(),TRUE)</f>
        <v>1</v>
      </c>
      <c r="H117" s="48">
        <f>VLOOKUP($A117,'Página15'!$A$1:$O$27,COLUMN(),TRUE)</f>
        <v>0.8995025101</v>
      </c>
      <c r="I117" s="48">
        <f>VLOOKUP($A117,'Página15'!$A$1:$O$27,COLUMN(),TRUE)</f>
        <v>0.5018772234</v>
      </c>
      <c r="J117" s="48">
        <f>VLOOKUP($A117,'Página15'!$A$1:$O$27,COLUMN(),TRUE)</f>
        <v>0.8995000922</v>
      </c>
      <c r="K117" s="48">
        <f>VLOOKUP($A117,'Página15'!$A$1:$O$27,COLUMN(),TRUE)</f>
        <v>0.2115692088</v>
      </c>
      <c r="L117" s="48">
        <f>VLOOKUP($A117,'Página15'!$A$1:$O$27,COLUMN(),TRUE)</f>
        <v>0.9077288558</v>
      </c>
      <c r="M117" s="48">
        <f>VLOOKUP($A117,'Página15'!$A$1:$O$27,COLUMN(),TRUE)</f>
        <v>0.5688825692</v>
      </c>
      <c r="N117" s="48">
        <f>VLOOKUP($A117,'Página15'!$A$1:$O$27,COLUMN(),TRUE)</f>
        <v>0.9077268003</v>
      </c>
      <c r="O117" s="48">
        <f>VLOOKUP($A117,'Página15'!$A$1:$O$27,COLUMN(),TRUE)</f>
        <v>0.2398156949</v>
      </c>
      <c r="P117" s="73">
        <f t="shared" si="5"/>
        <v>2025</v>
      </c>
      <c r="Q117" s="73">
        <f t="shared" si="6"/>
        <v>8</v>
      </c>
    </row>
    <row r="118">
      <c r="A118" s="34">
        <v>45901.0</v>
      </c>
      <c r="B118" s="48">
        <f t="shared" si="7"/>
        <v>1.388832925</v>
      </c>
      <c r="C118" s="48">
        <f t="shared" si="2"/>
        <v>1.089912428</v>
      </c>
      <c r="D118" s="48">
        <f>IF(MONTH($A118)=12,2.333,1)*VLOOKUP($A118,'Página15'!$A$1:$O$27,COLUMN(),TRUE)</f>
        <v>1</v>
      </c>
      <c r="E118" s="48">
        <f t="shared" si="8"/>
        <v>1.462389499</v>
      </c>
      <c r="F118" s="48">
        <f t="shared" si="4"/>
        <v>1.12356098</v>
      </c>
      <c r="G118" s="48">
        <f>IF(MONTH($A118)=12,2.333,1)*VLOOKUP($A118,'Página15'!$A$1:$O$27,COLUMN(),TRUE)</f>
        <v>1</v>
      </c>
      <c r="H118" s="48">
        <f>VLOOKUP($A118,'Página15'!$A$1:$O$27,COLUMN(),TRUE)</f>
        <v>0.8995025101</v>
      </c>
      <c r="I118" s="48">
        <f>VLOOKUP($A118,'Página15'!$A$1:$O$27,COLUMN(),TRUE)</f>
        <v>0.5018772234</v>
      </c>
      <c r="J118" s="48">
        <f>VLOOKUP($A118,'Página15'!$A$1:$O$27,COLUMN(),TRUE)</f>
        <v>0.8995000922</v>
      </c>
      <c r="K118" s="48">
        <f>VLOOKUP($A118,'Página15'!$A$1:$O$27,COLUMN(),TRUE)</f>
        <v>0.2115692088</v>
      </c>
      <c r="L118" s="48">
        <f>VLOOKUP($A118,'Página15'!$A$1:$O$27,COLUMN(),TRUE)</f>
        <v>0.9077288558</v>
      </c>
      <c r="M118" s="48">
        <f>VLOOKUP($A118,'Página15'!$A$1:$O$27,COLUMN(),TRUE)</f>
        <v>0.5688825692</v>
      </c>
      <c r="N118" s="48">
        <f>VLOOKUP($A118,'Página15'!$A$1:$O$27,COLUMN(),TRUE)</f>
        <v>0.9077268003</v>
      </c>
      <c r="O118" s="48">
        <f>VLOOKUP($A118,'Página15'!$A$1:$O$27,COLUMN(),TRUE)</f>
        <v>0.2398156949</v>
      </c>
      <c r="P118" s="73">
        <f t="shared" si="5"/>
        <v>2025</v>
      </c>
      <c r="Q118" s="73">
        <f t="shared" si="6"/>
        <v>9</v>
      </c>
    </row>
    <row r="119">
      <c r="A119" s="34">
        <v>45931.0</v>
      </c>
      <c r="B119" s="48">
        <f t="shared" si="7"/>
        <v>1.388832925</v>
      </c>
      <c r="C119" s="48">
        <f t="shared" si="2"/>
        <v>1.089912428</v>
      </c>
      <c r="D119" s="48">
        <f>IF(MONTH($A119)=12,2.333,1)*VLOOKUP($A119,'Página15'!$A$1:$O$27,COLUMN(),TRUE)</f>
        <v>1</v>
      </c>
      <c r="E119" s="48">
        <f t="shared" si="8"/>
        <v>1.462389499</v>
      </c>
      <c r="F119" s="48">
        <f t="shared" si="4"/>
        <v>1.12356098</v>
      </c>
      <c r="G119" s="48">
        <f>IF(MONTH($A119)=12,2.333,1)*VLOOKUP($A119,'Página15'!$A$1:$O$27,COLUMN(),TRUE)</f>
        <v>1</v>
      </c>
      <c r="H119" s="48">
        <f>VLOOKUP($A119,'Página15'!$A$1:$O$27,COLUMN(),TRUE)</f>
        <v>0.8995025101</v>
      </c>
      <c r="I119" s="48">
        <f>VLOOKUP($A119,'Página15'!$A$1:$O$27,COLUMN(),TRUE)</f>
        <v>0.5018772234</v>
      </c>
      <c r="J119" s="48">
        <f>VLOOKUP($A119,'Página15'!$A$1:$O$27,COLUMN(),TRUE)</f>
        <v>0.8995000922</v>
      </c>
      <c r="K119" s="48">
        <f>VLOOKUP($A119,'Página15'!$A$1:$O$27,COLUMN(),TRUE)</f>
        <v>0.2115692088</v>
      </c>
      <c r="L119" s="48">
        <f>VLOOKUP($A119,'Página15'!$A$1:$O$27,COLUMN(),TRUE)</f>
        <v>0.9077288558</v>
      </c>
      <c r="M119" s="48">
        <f>VLOOKUP($A119,'Página15'!$A$1:$O$27,COLUMN(),TRUE)</f>
        <v>0.5688825692</v>
      </c>
      <c r="N119" s="48">
        <f>VLOOKUP($A119,'Página15'!$A$1:$O$27,COLUMN(),TRUE)</f>
        <v>0.9077268003</v>
      </c>
      <c r="O119" s="48">
        <f>VLOOKUP($A119,'Página15'!$A$1:$O$27,COLUMN(),TRUE)</f>
        <v>0.2398156949</v>
      </c>
      <c r="P119" s="73">
        <f t="shared" si="5"/>
        <v>2025</v>
      </c>
      <c r="Q119" s="73">
        <f t="shared" si="6"/>
        <v>10</v>
      </c>
    </row>
    <row r="120">
      <c r="A120" s="34">
        <v>45962.0</v>
      </c>
      <c r="B120" s="48">
        <f t="shared" si="7"/>
        <v>1.388832925</v>
      </c>
      <c r="C120" s="48">
        <f t="shared" si="2"/>
        <v>1.089912428</v>
      </c>
      <c r="D120" s="48">
        <f>IF(MONTH($A120)=12,2.333,1)*VLOOKUP($A120,'Página15'!$A$1:$O$27,COLUMN(),TRUE)</f>
        <v>1</v>
      </c>
      <c r="E120" s="48">
        <f t="shared" si="8"/>
        <v>1.462389499</v>
      </c>
      <c r="F120" s="48">
        <f t="shared" si="4"/>
        <v>1.12356098</v>
      </c>
      <c r="G120" s="48">
        <f>IF(MONTH($A120)=12,2.333,1)*VLOOKUP($A120,'Página15'!$A$1:$O$27,COLUMN(),TRUE)</f>
        <v>1</v>
      </c>
      <c r="H120" s="48">
        <f>VLOOKUP($A120,'Página15'!$A$1:$O$27,COLUMN(),TRUE)</f>
        <v>0.8995025101</v>
      </c>
      <c r="I120" s="48">
        <f>VLOOKUP($A120,'Página15'!$A$1:$O$27,COLUMN(),TRUE)</f>
        <v>0.5018772234</v>
      </c>
      <c r="J120" s="48">
        <f>VLOOKUP($A120,'Página15'!$A$1:$O$27,COLUMN(),TRUE)</f>
        <v>0.8995000922</v>
      </c>
      <c r="K120" s="48">
        <f>VLOOKUP($A120,'Página15'!$A$1:$O$27,COLUMN(),TRUE)</f>
        <v>0.2115692088</v>
      </c>
      <c r="L120" s="48">
        <f>VLOOKUP($A120,'Página15'!$A$1:$O$27,COLUMN(),TRUE)</f>
        <v>0.9077288558</v>
      </c>
      <c r="M120" s="48">
        <f>VLOOKUP($A120,'Página15'!$A$1:$O$27,COLUMN(),TRUE)</f>
        <v>0.5688825692</v>
      </c>
      <c r="N120" s="48">
        <f>VLOOKUP($A120,'Página15'!$A$1:$O$27,COLUMN(),TRUE)</f>
        <v>0.9077268003</v>
      </c>
      <c r="O120" s="48">
        <f>VLOOKUP($A120,'Página15'!$A$1:$O$27,COLUMN(),TRUE)</f>
        <v>0.2398156949</v>
      </c>
      <c r="P120" s="73">
        <f t="shared" si="5"/>
        <v>2025</v>
      </c>
      <c r="Q120" s="73">
        <f t="shared" si="6"/>
        <v>11</v>
      </c>
    </row>
    <row r="121">
      <c r="A121" s="34">
        <v>45992.0</v>
      </c>
      <c r="B121" s="48">
        <f t="shared" si="7"/>
        <v>3.240147215</v>
      </c>
      <c r="C121" s="48">
        <f t="shared" si="2"/>
        <v>2.542765694</v>
      </c>
      <c r="D121" s="48">
        <f>IF(MONTH($A121)=12,2.333,1)*VLOOKUP($A121,'Página15'!$A$1:$O$27,COLUMN(),TRUE)</f>
        <v>2.333</v>
      </c>
      <c r="E121" s="48">
        <f t="shared" si="8"/>
        <v>3.411754702</v>
      </c>
      <c r="F121" s="48">
        <f t="shared" si="4"/>
        <v>2.621267765</v>
      </c>
      <c r="G121" s="48">
        <f>IF(MONTH($A121)=12,2.333,1)*VLOOKUP($A121,'Página15'!$A$1:$O$27,COLUMN(),TRUE)</f>
        <v>2.333</v>
      </c>
      <c r="H121" s="48">
        <f>VLOOKUP($A121,'Página15'!$A$1:$O$27,COLUMN(),TRUE)</f>
        <v>0.8995025101</v>
      </c>
      <c r="I121" s="48">
        <f>VLOOKUP($A121,'Página15'!$A$1:$O$27,COLUMN(),TRUE)</f>
        <v>0.5018772234</v>
      </c>
      <c r="J121" s="48">
        <f>VLOOKUP($A121,'Página15'!$A$1:$O$27,COLUMN(),TRUE)</f>
        <v>0.8995000922</v>
      </c>
      <c r="K121" s="48">
        <f>VLOOKUP($A121,'Página15'!$A$1:$O$27,COLUMN(),TRUE)</f>
        <v>0.2115692088</v>
      </c>
      <c r="L121" s="48">
        <f>VLOOKUP($A121,'Página15'!$A$1:$O$27,COLUMN(),TRUE)</f>
        <v>0.9077288558</v>
      </c>
      <c r="M121" s="48">
        <f>VLOOKUP($A121,'Página15'!$A$1:$O$27,COLUMN(),TRUE)</f>
        <v>0.5688825692</v>
      </c>
      <c r="N121" s="48">
        <f>VLOOKUP($A121,'Página15'!$A$1:$O$27,COLUMN(),TRUE)</f>
        <v>0.9077268003</v>
      </c>
      <c r="O121" s="48">
        <f>VLOOKUP($A121,'Página15'!$A$1:$O$27,COLUMN(),TRUE)</f>
        <v>0.2398156949</v>
      </c>
      <c r="P121" s="73">
        <f t="shared" si="5"/>
        <v>2025</v>
      </c>
      <c r="Q121" s="73">
        <f t="shared" si="6"/>
        <v>12</v>
      </c>
    </row>
    <row r="122">
      <c r="A122" s="34">
        <v>46023.0</v>
      </c>
      <c r="B122" s="48">
        <f t="shared" si="7"/>
        <v>1.388832925</v>
      </c>
      <c r="C122" s="48">
        <f t="shared" si="2"/>
        <v>1.089912428</v>
      </c>
      <c r="D122" s="48">
        <f>IF(MONTH($A122)=12,2.333,1)*VLOOKUP($A122,'Página15'!$A$1:$O$27,COLUMN(),TRUE)</f>
        <v>1</v>
      </c>
      <c r="E122" s="48">
        <f t="shared" si="8"/>
        <v>1.462389499</v>
      </c>
      <c r="F122" s="48">
        <f t="shared" si="4"/>
        <v>1.12356098</v>
      </c>
      <c r="G122" s="48">
        <f>IF(MONTH($A122)=12,2.333,1)*VLOOKUP($A122,'Página15'!$A$1:$O$27,COLUMN(),TRUE)</f>
        <v>1</v>
      </c>
      <c r="H122" s="48">
        <f>VLOOKUP($A122,'Página15'!$A$1:$O$27,COLUMN(),TRUE)</f>
        <v>0.8995025101</v>
      </c>
      <c r="I122" s="48">
        <f>VLOOKUP($A122,'Página15'!$A$1:$O$27,COLUMN(),TRUE)</f>
        <v>0.5018772234</v>
      </c>
      <c r="J122" s="48">
        <f>VLOOKUP($A122,'Página15'!$A$1:$O$27,COLUMN(),TRUE)</f>
        <v>0.8995000922</v>
      </c>
      <c r="K122" s="48">
        <f>VLOOKUP($A122,'Página15'!$A$1:$O$27,COLUMN(),TRUE)</f>
        <v>0.2115692088</v>
      </c>
      <c r="L122" s="48">
        <f>VLOOKUP($A122,'Página15'!$A$1:$O$27,COLUMN(),TRUE)</f>
        <v>0.9077288558</v>
      </c>
      <c r="M122" s="48">
        <f>VLOOKUP($A122,'Página15'!$A$1:$O$27,COLUMN(),TRUE)</f>
        <v>0.5688825692</v>
      </c>
      <c r="N122" s="48">
        <f>VLOOKUP($A122,'Página15'!$A$1:$O$27,COLUMN(),TRUE)</f>
        <v>0.9077268003</v>
      </c>
      <c r="O122" s="48">
        <f>VLOOKUP($A122,'Página15'!$A$1:$O$27,COLUMN(),TRUE)</f>
        <v>0.2398156949</v>
      </c>
      <c r="P122" s="73">
        <f t="shared" si="5"/>
        <v>2026</v>
      </c>
      <c r="Q122" s="73">
        <f t="shared" si="6"/>
        <v>1</v>
      </c>
    </row>
    <row r="123">
      <c r="A123" s="34">
        <v>46054.0</v>
      </c>
      <c r="B123" s="48">
        <f t="shared" si="7"/>
        <v>1.388832925</v>
      </c>
      <c r="C123" s="48">
        <f t="shared" si="2"/>
        <v>1.089912428</v>
      </c>
      <c r="D123" s="48">
        <f>IF(MONTH($A123)=12,2.333,1)*VLOOKUP($A123,'Página15'!$A$1:$O$27,COLUMN(),TRUE)</f>
        <v>1</v>
      </c>
      <c r="E123" s="48">
        <f t="shared" si="8"/>
        <v>1.462389499</v>
      </c>
      <c r="F123" s="48">
        <f t="shared" si="4"/>
        <v>1.12356098</v>
      </c>
      <c r="G123" s="48">
        <f>IF(MONTH($A123)=12,2.333,1)*VLOOKUP($A123,'Página15'!$A$1:$O$27,COLUMN(),TRUE)</f>
        <v>1</v>
      </c>
      <c r="H123" s="48">
        <f>VLOOKUP($A123,'Página15'!$A$1:$O$27,COLUMN(),TRUE)</f>
        <v>0.8995025101</v>
      </c>
      <c r="I123" s="48">
        <f>VLOOKUP($A123,'Página15'!$A$1:$O$27,COLUMN(),TRUE)</f>
        <v>0.5018772234</v>
      </c>
      <c r="J123" s="48">
        <f>VLOOKUP($A123,'Página15'!$A$1:$O$27,COLUMN(),TRUE)</f>
        <v>0.8995000922</v>
      </c>
      <c r="K123" s="48">
        <f>VLOOKUP($A123,'Página15'!$A$1:$O$27,COLUMN(),TRUE)</f>
        <v>0.2115692088</v>
      </c>
      <c r="L123" s="48">
        <f>VLOOKUP($A123,'Página15'!$A$1:$O$27,COLUMN(),TRUE)</f>
        <v>0.9077288558</v>
      </c>
      <c r="M123" s="48">
        <f>VLOOKUP($A123,'Página15'!$A$1:$O$27,COLUMN(),TRUE)</f>
        <v>0.5688825692</v>
      </c>
      <c r="N123" s="48">
        <f>VLOOKUP($A123,'Página15'!$A$1:$O$27,COLUMN(),TRUE)</f>
        <v>0.9077268003</v>
      </c>
      <c r="O123" s="48">
        <f>VLOOKUP($A123,'Página15'!$A$1:$O$27,COLUMN(),TRUE)</f>
        <v>0.2398156949</v>
      </c>
      <c r="P123" s="73">
        <f t="shared" si="5"/>
        <v>2026</v>
      </c>
      <c r="Q123" s="73">
        <f t="shared" si="6"/>
        <v>2</v>
      </c>
    </row>
    <row r="124">
      <c r="A124" s="34">
        <v>46082.0</v>
      </c>
      <c r="B124" s="48">
        <f t="shared" si="7"/>
        <v>1.388832925</v>
      </c>
      <c r="C124" s="48">
        <f t="shared" si="2"/>
        <v>1.089912428</v>
      </c>
      <c r="D124" s="48">
        <f>IF(MONTH($A124)=12,2.333,1)*VLOOKUP($A124,'Página15'!$A$1:$O$27,COLUMN(),TRUE)</f>
        <v>1</v>
      </c>
      <c r="E124" s="48">
        <f t="shared" si="8"/>
        <v>1.462389499</v>
      </c>
      <c r="F124" s="48">
        <f t="shared" si="4"/>
        <v>1.12356098</v>
      </c>
      <c r="G124" s="48">
        <f>IF(MONTH($A124)=12,2.333,1)*VLOOKUP($A124,'Página15'!$A$1:$O$27,COLUMN(),TRUE)</f>
        <v>1</v>
      </c>
      <c r="H124" s="48">
        <f>VLOOKUP($A124,'Página15'!$A$1:$O$27,COLUMN(),TRUE)</f>
        <v>0.8995025101</v>
      </c>
      <c r="I124" s="48">
        <f>VLOOKUP($A124,'Página15'!$A$1:$O$27,COLUMN(),TRUE)</f>
        <v>0.5018772234</v>
      </c>
      <c r="J124" s="48">
        <f>VLOOKUP($A124,'Página15'!$A$1:$O$27,COLUMN(),TRUE)</f>
        <v>0.8995000922</v>
      </c>
      <c r="K124" s="48">
        <f>VLOOKUP($A124,'Página15'!$A$1:$O$27,COLUMN(),TRUE)</f>
        <v>0.2115692088</v>
      </c>
      <c r="L124" s="48">
        <f>VLOOKUP($A124,'Página15'!$A$1:$O$27,COLUMN(),TRUE)</f>
        <v>0.9077288558</v>
      </c>
      <c r="M124" s="48">
        <f>VLOOKUP($A124,'Página15'!$A$1:$O$27,COLUMN(),TRUE)</f>
        <v>0.5688825692</v>
      </c>
      <c r="N124" s="48">
        <f>VLOOKUP($A124,'Página15'!$A$1:$O$27,COLUMN(),TRUE)</f>
        <v>0.9077268003</v>
      </c>
      <c r="O124" s="48">
        <f>VLOOKUP($A124,'Página15'!$A$1:$O$27,COLUMN(),TRUE)</f>
        <v>0.2398156949</v>
      </c>
      <c r="P124" s="73">
        <f t="shared" si="5"/>
        <v>2026</v>
      </c>
      <c r="Q124" s="73">
        <f t="shared" si="6"/>
        <v>3</v>
      </c>
    </row>
    <row r="125">
      <c r="A125" s="34">
        <v>46113.0</v>
      </c>
      <c r="B125" s="48">
        <f t="shared" si="7"/>
        <v>1.252277349</v>
      </c>
      <c r="C125" s="48">
        <f t="shared" si="2"/>
        <v>1.093120199</v>
      </c>
      <c r="D125" s="48">
        <f>IF(MONTH($A125)=12,2.333,1)*VLOOKUP($A125,'Página15'!$A$1:$O$27,COLUMN(),TRUE)</f>
        <v>1</v>
      </c>
      <c r="E125" s="48">
        <f t="shared" si="8"/>
        <v>1.329300436</v>
      </c>
      <c r="F125" s="48">
        <f t="shared" si="4"/>
        <v>1.147431146</v>
      </c>
      <c r="G125" s="48">
        <f>IF(MONTH($A125)=12,2.333,1)*VLOOKUP($A125,'Página15'!$A$1:$O$27,COLUMN(),TRUE)</f>
        <v>1</v>
      </c>
      <c r="H125" s="48">
        <f>VLOOKUP($A125,'Página15'!$A$1:$O$27,COLUMN(),TRUE)</f>
        <v>0.8110598463</v>
      </c>
      <c r="I125" s="48">
        <f>VLOOKUP($A125,'Página15'!$A$1:$O$27,COLUMN(),TRUE)</f>
        <v>0.452530659</v>
      </c>
      <c r="J125" s="48">
        <f>VLOOKUP($A125,'Página15'!$A$1:$O$27,COLUMN(),TRUE)</f>
        <v>0.8110576661</v>
      </c>
      <c r="K125" s="48">
        <f>VLOOKUP($A125,'Página15'!$A$1:$O$27,COLUMN(),TRUE)</f>
        <v>0.3134027361</v>
      </c>
      <c r="L125" s="48">
        <f>VLOOKUP($A125,'Página15'!$A$1:$O$27,COLUMN(),TRUE)</f>
        <v>0.8251183179</v>
      </c>
      <c r="M125" s="48">
        <f>VLOOKUP($A125,'Página15'!$A$1:$O$27,COLUMN(),TRUE)</f>
        <v>0.5171097355</v>
      </c>
      <c r="N125" s="48">
        <f>VLOOKUP($A125,'Página15'!$A$1:$O$27,COLUMN(),TRUE)</f>
        <v>0.8251164494</v>
      </c>
      <c r="O125" s="48">
        <f>VLOOKUP($A125,'Página15'!$A$1:$O$27,COLUMN(),TRUE)</f>
        <v>0.3581273507</v>
      </c>
      <c r="P125" s="73">
        <f t="shared" si="5"/>
        <v>2026</v>
      </c>
      <c r="Q125" s="73">
        <f t="shared" si="6"/>
        <v>4</v>
      </c>
    </row>
    <row r="126">
      <c r="A126" s="34">
        <v>46143.0</v>
      </c>
      <c r="B126" s="48">
        <f t="shared" si="7"/>
        <v>1.252277349</v>
      </c>
      <c r="C126" s="48">
        <f t="shared" si="2"/>
        <v>1.093120199</v>
      </c>
      <c r="D126" s="48">
        <f>IF(MONTH($A126)=12,2.333,1)*VLOOKUP($A126,'Página15'!$A$1:$O$27,COLUMN(),TRUE)</f>
        <v>1</v>
      </c>
      <c r="E126" s="48">
        <f t="shared" si="8"/>
        <v>1.329300436</v>
      </c>
      <c r="F126" s="48">
        <f t="shared" si="4"/>
        <v>1.147431146</v>
      </c>
      <c r="G126" s="48">
        <f>IF(MONTH($A126)=12,2.333,1)*VLOOKUP($A126,'Página15'!$A$1:$O$27,COLUMN(),TRUE)</f>
        <v>1</v>
      </c>
      <c r="H126" s="48">
        <f>VLOOKUP($A126,'Página15'!$A$1:$O$27,COLUMN(),TRUE)</f>
        <v>0.8110598463</v>
      </c>
      <c r="I126" s="48">
        <f>VLOOKUP($A126,'Página15'!$A$1:$O$27,COLUMN(),TRUE)</f>
        <v>0.452530659</v>
      </c>
      <c r="J126" s="48">
        <f>VLOOKUP($A126,'Página15'!$A$1:$O$27,COLUMN(),TRUE)</f>
        <v>0.8110576661</v>
      </c>
      <c r="K126" s="48">
        <f>VLOOKUP($A126,'Página15'!$A$1:$O$27,COLUMN(),TRUE)</f>
        <v>0.3134027361</v>
      </c>
      <c r="L126" s="48">
        <f>VLOOKUP($A126,'Página15'!$A$1:$O$27,COLUMN(),TRUE)</f>
        <v>0.8251183179</v>
      </c>
      <c r="M126" s="48">
        <f>VLOOKUP($A126,'Página15'!$A$1:$O$27,COLUMN(),TRUE)</f>
        <v>0.5171097355</v>
      </c>
      <c r="N126" s="48">
        <f>VLOOKUP($A126,'Página15'!$A$1:$O$27,COLUMN(),TRUE)</f>
        <v>0.8251164494</v>
      </c>
      <c r="O126" s="48">
        <f>VLOOKUP($A126,'Página15'!$A$1:$O$27,COLUMN(),TRUE)</f>
        <v>0.3581273507</v>
      </c>
      <c r="P126" s="73">
        <f t="shared" si="5"/>
        <v>2026</v>
      </c>
      <c r="Q126" s="73">
        <f t="shared" si="6"/>
        <v>5</v>
      </c>
    </row>
    <row r="127">
      <c r="A127" s="34">
        <v>46174.0</v>
      </c>
      <c r="B127" s="48">
        <f t="shared" si="7"/>
        <v>1.252277349</v>
      </c>
      <c r="C127" s="48">
        <f t="shared" si="2"/>
        <v>1.093120199</v>
      </c>
      <c r="D127" s="48">
        <f>IF(MONTH($A127)=12,2.333,1)*VLOOKUP($A127,'Página15'!$A$1:$O$27,COLUMN(),TRUE)</f>
        <v>1</v>
      </c>
      <c r="E127" s="48">
        <f t="shared" si="8"/>
        <v>1.329300436</v>
      </c>
      <c r="F127" s="48">
        <f t="shared" si="4"/>
        <v>1.147431146</v>
      </c>
      <c r="G127" s="48">
        <f>IF(MONTH($A127)=12,2.333,1)*VLOOKUP($A127,'Página15'!$A$1:$O$27,COLUMN(),TRUE)</f>
        <v>1</v>
      </c>
      <c r="H127" s="48">
        <f>VLOOKUP($A127,'Página15'!$A$1:$O$27,COLUMN(),TRUE)</f>
        <v>0.8110598463</v>
      </c>
      <c r="I127" s="48">
        <f>VLOOKUP($A127,'Página15'!$A$1:$O$27,COLUMN(),TRUE)</f>
        <v>0.452530659</v>
      </c>
      <c r="J127" s="48">
        <f>VLOOKUP($A127,'Página15'!$A$1:$O$27,COLUMN(),TRUE)</f>
        <v>0.8110576661</v>
      </c>
      <c r="K127" s="48">
        <f>VLOOKUP($A127,'Página15'!$A$1:$O$27,COLUMN(),TRUE)</f>
        <v>0.3134027361</v>
      </c>
      <c r="L127" s="48">
        <f>VLOOKUP($A127,'Página15'!$A$1:$O$27,COLUMN(),TRUE)</f>
        <v>0.8251183179</v>
      </c>
      <c r="M127" s="48">
        <f>VLOOKUP($A127,'Página15'!$A$1:$O$27,COLUMN(),TRUE)</f>
        <v>0.5171097355</v>
      </c>
      <c r="N127" s="48">
        <f>VLOOKUP($A127,'Página15'!$A$1:$O$27,COLUMN(),TRUE)</f>
        <v>0.8251164494</v>
      </c>
      <c r="O127" s="48">
        <f>VLOOKUP($A127,'Página15'!$A$1:$O$27,COLUMN(),TRUE)</f>
        <v>0.3581273507</v>
      </c>
      <c r="P127" s="73">
        <f t="shared" si="5"/>
        <v>2026</v>
      </c>
      <c r="Q127" s="73">
        <f t="shared" si="6"/>
        <v>6</v>
      </c>
    </row>
    <row r="128">
      <c r="A128" s="34">
        <v>46204.0</v>
      </c>
      <c r="B128" s="48">
        <f t="shared" si="7"/>
        <v>1.252277349</v>
      </c>
      <c r="C128" s="48">
        <f t="shared" si="2"/>
        <v>1.093120199</v>
      </c>
      <c r="D128" s="48">
        <f>IF(MONTH($A128)=12,2.333,1)*VLOOKUP($A128,'Página15'!$A$1:$O$27,COLUMN(),TRUE)</f>
        <v>1</v>
      </c>
      <c r="E128" s="48">
        <f t="shared" si="8"/>
        <v>1.329300436</v>
      </c>
      <c r="F128" s="48">
        <f t="shared" si="4"/>
        <v>1.147431146</v>
      </c>
      <c r="G128" s="48">
        <f>IF(MONTH($A128)=12,2.333,1)*VLOOKUP($A128,'Página15'!$A$1:$O$27,COLUMN(),TRUE)</f>
        <v>1</v>
      </c>
      <c r="H128" s="48">
        <f>VLOOKUP($A128,'Página15'!$A$1:$O$27,COLUMN(),TRUE)</f>
        <v>0.8110598463</v>
      </c>
      <c r="I128" s="48">
        <f>VLOOKUP($A128,'Página15'!$A$1:$O$27,COLUMN(),TRUE)</f>
        <v>0.452530659</v>
      </c>
      <c r="J128" s="48">
        <f>VLOOKUP($A128,'Página15'!$A$1:$O$27,COLUMN(),TRUE)</f>
        <v>0.8110576661</v>
      </c>
      <c r="K128" s="48">
        <f>VLOOKUP($A128,'Página15'!$A$1:$O$27,COLUMN(),TRUE)</f>
        <v>0.3134027361</v>
      </c>
      <c r="L128" s="48">
        <f>VLOOKUP($A128,'Página15'!$A$1:$O$27,COLUMN(),TRUE)</f>
        <v>0.8251183179</v>
      </c>
      <c r="M128" s="48">
        <f>VLOOKUP($A128,'Página15'!$A$1:$O$27,COLUMN(),TRUE)</f>
        <v>0.5171097355</v>
      </c>
      <c r="N128" s="48">
        <f>VLOOKUP($A128,'Página15'!$A$1:$O$27,COLUMN(),TRUE)</f>
        <v>0.8251164494</v>
      </c>
      <c r="O128" s="48">
        <f>VLOOKUP($A128,'Página15'!$A$1:$O$27,COLUMN(),TRUE)</f>
        <v>0.3581273507</v>
      </c>
      <c r="P128" s="73">
        <f t="shared" si="5"/>
        <v>2026</v>
      </c>
      <c r="Q128" s="73">
        <f t="shared" si="6"/>
        <v>7</v>
      </c>
    </row>
    <row r="129">
      <c r="A129" s="34">
        <v>46235.0</v>
      </c>
      <c r="B129" s="48">
        <f t="shared" si="7"/>
        <v>1.252277349</v>
      </c>
      <c r="C129" s="48">
        <f t="shared" si="2"/>
        <v>1.093120199</v>
      </c>
      <c r="D129" s="48">
        <f>IF(MONTH($A129)=12,2.333,1)*VLOOKUP($A129,'Página15'!$A$1:$O$27,COLUMN(),TRUE)</f>
        <v>1</v>
      </c>
      <c r="E129" s="48">
        <f t="shared" si="8"/>
        <v>1.329300436</v>
      </c>
      <c r="F129" s="48">
        <f t="shared" si="4"/>
        <v>1.147431146</v>
      </c>
      <c r="G129" s="48">
        <f>IF(MONTH($A129)=12,2.333,1)*VLOOKUP($A129,'Página15'!$A$1:$O$27,COLUMN(),TRUE)</f>
        <v>1</v>
      </c>
      <c r="H129" s="48">
        <f>VLOOKUP($A129,'Página15'!$A$1:$O$27,COLUMN(),TRUE)</f>
        <v>0.8110598463</v>
      </c>
      <c r="I129" s="48">
        <f>VLOOKUP($A129,'Página15'!$A$1:$O$27,COLUMN(),TRUE)</f>
        <v>0.452530659</v>
      </c>
      <c r="J129" s="48">
        <f>VLOOKUP($A129,'Página15'!$A$1:$O$27,COLUMN(),TRUE)</f>
        <v>0.8110576661</v>
      </c>
      <c r="K129" s="48">
        <f>VLOOKUP($A129,'Página15'!$A$1:$O$27,COLUMN(),TRUE)</f>
        <v>0.3134027361</v>
      </c>
      <c r="L129" s="48">
        <f>VLOOKUP($A129,'Página15'!$A$1:$O$27,COLUMN(),TRUE)</f>
        <v>0.8251183179</v>
      </c>
      <c r="M129" s="48">
        <f>VLOOKUP($A129,'Página15'!$A$1:$O$27,COLUMN(),TRUE)</f>
        <v>0.5171097355</v>
      </c>
      <c r="N129" s="48">
        <f>VLOOKUP($A129,'Página15'!$A$1:$O$27,COLUMN(),TRUE)</f>
        <v>0.8251164494</v>
      </c>
      <c r="O129" s="48">
        <f>VLOOKUP($A129,'Página15'!$A$1:$O$27,COLUMN(),TRUE)</f>
        <v>0.3581273507</v>
      </c>
      <c r="P129" s="73">
        <f t="shared" si="5"/>
        <v>2026</v>
      </c>
      <c r="Q129" s="73">
        <f t="shared" si="6"/>
        <v>8</v>
      </c>
    </row>
    <row r="130">
      <c r="A130" s="34">
        <v>46266.0</v>
      </c>
      <c r="B130" s="48">
        <f t="shared" si="7"/>
        <v>1.252277349</v>
      </c>
      <c r="C130" s="48">
        <f t="shared" si="2"/>
        <v>1.093120199</v>
      </c>
      <c r="D130" s="48">
        <f>IF(MONTH($A130)=12,2.333,1)*VLOOKUP($A130,'Página15'!$A$1:$O$27,COLUMN(),TRUE)</f>
        <v>1</v>
      </c>
      <c r="E130" s="48">
        <f t="shared" si="8"/>
        <v>1.329300436</v>
      </c>
      <c r="F130" s="48">
        <f t="shared" si="4"/>
        <v>1.147431146</v>
      </c>
      <c r="G130" s="48">
        <f>IF(MONTH($A130)=12,2.333,1)*VLOOKUP($A130,'Página15'!$A$1:$O$27,COLUMN(),TRUE)</f>
        <v>1</v>
      </c>
      <c r="H130" s="48">
        <f>VLOOKUP($A130,'Página15'!$A$1:$O$27,COLUMN(),TRUE)</f>
        <v>0.8110598463</v>
      </c>
      <c r="I130" s="48">
        <f>VLOOKUP($A130,'Página15'!$A$1:$O$27,COLUMN(),TRUE)</f>
        <v>0.452530659</v>
      </c>
      <c r="J130" s="48">
        <f>VLOOKUP($A130,'Página15'!$A$1:$O$27,COLUMN(),TRUE)</f>
        <v>0.8110576661</v>
      </c>
      <c r="K130" s="48">
        <f>VLOOKUP($A130,'Página15'!$A$1:$O$27,COLUMN(),TRUE)</f>
        <v>0.3134027361</v>
      </c>
      <c r="L130" s="48">
        <f>VLOOKUP($A130,'Página15'!$A$1:$O$27,COLUMN(),TRUE)</f>
        <v>0.8251183179</v>
      </c>
      <c r="M130" s="48">
        <f>VLOOKUP($A130,'Página15'!$A$1:$O$27,COLUMN(),TRUE)</f>
        <v>0.5171097355</v>
      </c>
      <c r="N130" s="48">
        <f>VLOOKUP($A130,'Página15'!$A$1:$O$27,COLUMN(),TRUE)</f>
        <v>0.8251164494</v>
      </c>
      <c r="O130" s="48">
        <f>VLOOKUP($A130,'Página15'!$A$1:$O$27,COLUMN(),TRUE)</f>
        <v>0.3581273507</v>
      </c>
      <c r="P130" s="73">
        <f t="shared" si="5"/>
        <v>2026</v>
      </c>
      <c r="Q130" s="73">
        <f t="shared" si="6"/>
        <v>9</v>
      </c>
    </row>
    <row r="131">
      <c r="A131" s="34">
        <v>46296.0</v>
      </c>
      <c r="B131" s="48">
        <f t="shared" si="7"/>
        <v>1.252277349</v>
      </c>
      <c r="C131" s="48">
        <f t="shared" si="2"/>
        <v>1.093120199</v>
      </c>
      <c r="D131" s="48">
        <f>IF(MONTH($A131)=12,2.333,1)*VLOOKUP($A131,'Página15'!$A$1:$O$27,COLUMN(),TRUE)</f>
        <v>1</v>
      </c>
      <c r="E131" s="48">
        <f t="shared" si="8"/>
        <v>1.329300436</v>
      </c>
      <c r="F131" s="48">
        <f t="shared" si="4"/>
        <v>1.147431146</v>
      </c>
      <c r="G131" s="48">
        <f>IF(MONTH($A131)=12,2.333,1)*VLOOKUP($A131,'Página15'!$A$1:$O$27,COLUMN(),TRUE)</f>
        <v>1</v>
      </c>
      <c r="H131" s="48">
        <f>VLOOKUP($A131,'Página15'!$A$1:$O$27,COLUMN(),TRUE)</f>
        <v>0.8110598463</v>
      </c>
      <c r="I131" s="48">
        <f>VLOOKUP($A131,'Página15'!$A$1:$O$27,COLUMN(),TRUE)</f>
        <v>0.452530659</v>
      </c>
      <c r="J131" s="48">
        <f>VLOOKUP($A131,'Página15'!$A$1:$O$27,COLUMN(),TRUE)</f>
        <v>0.8110576661</v>
      </c>
      <c r="K131" s="48">
        <f>VLOOKUP($A131,'Página15'!$A$1:$O$27,COLUMN(),TRUE)</f>
        <v>0.3134027361</v>
      </c>
      <c r="L131" s="48">
        <f>VLOOKUP($A131,'Página15'!$A$1:$O$27,COLUMN(),TRUE)</f>
        <v>0.8251183179</v>
      </c>
      <c r="M131" s="48">
        <f>VLOOKUP($A131,'Página15'!$A$1:$O$27,COLUMN(),TRUE)</f>
        <v>0.5171097355</v>
      </c>
      <c r="N131" s="48">
        <f>VLOOKUP($A131,'Página15'!$A$1:$O$27,COLUMN(),TRUE)</f>
        <v>0.8251164494</v>
      </c>
      <c r="O131" s="48">
        <f>VLOOKUP($A131,'Página15'!$A$1:$O$27,COLUMN(),TRUE)</f>
        <v>0.3581273507</v>
      </c>
      <c r="P131" s="73">
        <f t="shared" si="5"/>
        <v>2026</v>
      </c>
      <c r="Q131" s="73">
        <f t="shared" si="6"/>
        <v>10</v>
      </c>
    </row>
    <row r="132">
      <c r="A132" s="34">
        <v>46327.0</v>
      </c>
      <c r="B132" s="48">
        <f t="shared" si="7"/>
        <v>1.252277349</v>
      </c>
      <c r="C132" s="48">
        <f t="shared" si="2"/>
        <v>1.093120199</v>
      </c>
      <c r="D132" s="48">
        <f>IF(MONTH($A132)=12,2.333,1)*VLOOKUP($A132,'Página15'!$A$1:$O$27,COLUMN(),TRUE)</f>
        <v>1</v>
      </c>
      <c r="E132" s="48">
        <f t="shared" si="8"/>
        <v>1.329300436</v>
      </c>
      <c r="F132" s="48">
        <f t="shared" si="4"/>
        <v>1.147431146</v>
      </c>
      <c r="G132" s="48">
        <f>IF(MONTH($A132)=12,2.333,1)*VLOOKUP($A132,'Página15'!$A$1:$O$27,COLUMN(),TRUE)</f>
        <v>1</v>
      </c>
      <c r="H132" s="48">
        <f>VLOOKUP($A132,'Página15'!$A$1:$O$27,COLUMN(),TRUE)</f>
        <v>0.8110598463</v>
      </c>
      <c r="I132" s="48">
        <f>VLOOKUP($A132,'Página15'!$A$1:$O$27,COLUMN(),TRUE)</f>
        <v>0.452530659</v>
      </c>
      <c r="J132" s="48">
        <f>VLOOKUP($A132,'Página15'!$A$1:$O$27,COLUMN(),TRUE)</f>
        <v>0.8110576661</v>
      </c>
      <c r="K132" s="48">
        <f>VLOOKUP($A132,'Página15'!$A$1:$O$27,COLUMN(),TRUE)</f>
        <v>0.3134027361</v>
      </c>
      <c r="L132" s="48">
        <f>VLOOKUP($A132,'Página15'!$A$1:$O$27,COLUMN(),TRUE)</f>
        <v>0.8251183179</v>
      </c>
      <c r="M132" s="48">
        <f>VLOOKUP($A132,'Página15'!$A$1:$O$27,COLUMN(),TRUE)</f>
        <v>0.5171097355</v>
      </c>
      <c r="N132" s="48">
        <f>VLOOKUP($A132,'Página15'!$A$1:$O$27,COLUMN(),TRUE)</f>
        <v>0.8251164494</v>
      </c>
      <c r="O132" s="48">
        <f>VLOOKUP($A132,'Página15'!$A$1:$O$27,COLUMN(),TRUE)</f>
        <v>0.3581273507</v>
      </c>
      <c r="P132" s="73">
        <f t="shared" si="5"/>
        <v>2026</v>
      </c>
      <c r="Q132" s="73">
        <f t="shared" si="6"/>
        <v>11</v>
      </c>
    </row>
    <row r="133">
      <c r="A133" s="34">
        <v>46357.0</v>
      </c>
      <c r="B133" s="48">
        <f t="shared" si="7"/>
        <v>2.921563055</v>
      </c>
      <c r="C133" s="48">
        <f t="shared" si="2"/>
        <v>2.550249425</v>
      </c>
      <c r="D133" s="48">
        <f>IF(MONTH($A133)=12,2.333,1)*VLOOKUP($A133,'Página15'!$A$1:$O$27,COLUMN(),TRUE)</f>
        <v>2.333</v>
      </c>
      <c r="E133" s="48">
        <f t="shared" si="8"/>
        <v>3.101257917</v>
      </c>
      <c r="F133" s="48">
        <f t="shared" si="4"/>
        <v>2.676956863</v>
      </c>
      <c r="G133" s="48">
        <f>IF(MONTH($A133)=12,2.333,1)*VLOOKUP($A133,'Página15'!$A$1:$O$27,COLUMN(),TRUE)</f>
        <v>2.333</v>
      </c>
      <c r="H133" s="48">
        <f>VLOOKUP($A133,'Página15'!$A$1:$O$27,COLUMN(),TRUE)</f>
        <v>0.8110598463</v>
      </c>
      <c r="I133" s="48">
        <f>VLOOKUP($A133,'Página15'!$A$1:$O$27,COLUMN(),TRUE)</f>
        <v>0.452530659</v>
      </c>
      <c r="J133" s="48">
        <f>VLOOKUP($A133,'Página15'!$A$1:$O$27,COLUMN(),TRUE)</f>
        <v>0.8110576661</v>
      </c>
      <c r="K133" s="48">
        <f>VLOOKUP($A133,'Página15'!$A$1:$O$27,COLUMN(),TRUE)</f>
        <v>0.3134027361</v>
      </c>
      <c r="L133" s="48">
        <f>VLOOKUP($A133,'Página15'!$A$1:$O$27,COLUMN(),TRUE)</f>
        <v>0.8251183179</v>
      </c>
      <c r="M133" s="48">
        <f>VLOOKUP($A133,'Página15'!$A$1:$O$27,COLUMN(),TRUE)</f>
        <v>0.5171097355</v>
      </c>
      <c r="N133" s="48">
        <f>VLOOKUP($A133,'Página15'!$A$1:$O$27,COLUMN(),TRUE)</f>
        <v>0.8251164494</v>
      </c>
      <c r="O133" s="48">
        <f>VLOOKUP($A133,'Página15'!$A$1:$O$27,COLUMN(),TRUE)</f>
        <v>0.3581273507</v>
      </c>
      <c r="P133" s="73">
        <f t="shared" si="5"/>
        <v>2026</v>
      </c>
      <c r="Q133" s="73">
        <f t="shared" si="6"/>
        <v>12</v>
      </c>
    </row>
    <row r="134">
      <c r="A134" s="34">
        <v>46388.0</v>
      </c>
      <c r="B134" s="48">
        <f t="shared" si="7"/>
        <v>1.252277349</v>
      </c>
      <c r="C134" s="48">
        <f t="shared" si="2"/>
        <v>1.093120199</v>
      </c>
      <c r="D134" s="48">
        <f>IF(MONTH($A134)=12,2.333,1)*VLOOKUP($A134,'Página15'!$A$1:$O$27,COLUMN(),TRUE)</f>
        <v>1</v>
      </c>
      <c r="E134" s="48">
        <f t="shared" si="8"/>
        <v>1.329300436</v>
      </c>
      <c r="F134" s="48">
        <f t="shared" si="4"/>
        <v>1.147431146</v>
      </c>
      <c r="G134" s="48">
        <f>IF(MONTH($A134)=12,2.333,1)*VLOOKUP($A134,'Página15'!$A$1:$O$27,COLUMN(),TRUE)</f>
        <v>1</v>
      </c>
      <c r="H134" s="48">
        <f>VLOOKUP($A134,'Página15'!$A$1:$O$27,COLUMN(),TRUE)</f>
        <v>0.8110598463</v>
      </c>
      <c r="I134" s="48">
        <f>VLOOKUP($A134,'Página15'!$A$1:$O$27,COLUMN(),TRUE)</f>
        <v>0.452530659</v>
      </c>
      <c r="J134" s="48">
        <f>VLOOKUP($A134,'Página15'!$A$1:$O$27,COLUMN(),TRUE)</f>
        <v>0.8110576661</v>
      </c>
      <c r="K134" s="48">
        <f>VLOOKUP($A134,'Página15'!$A$1:$O$27,COLUMN(),TRUE)</f>
        <v>0.3134027361</v>
      </c>
      <c r="L134" s="48">
        <f>VLOOKUP($A134,'Página15'!$A$1:$O$27,COLUMN(),TRUE)</f>
        <v>0.8251183179</v>
      </c>
      <c r="M134" s="48">
        <f>VLOOKUP($A134,'Página15'!$A$1:$O$27,COLUMN(),TRUE)</f>
        <v>0.5171097355</v>
      </c>
      <c r="N134" s="48">
        <f>VLOOKUP($A134,'Página15'!$A$1:$O$27,COLUMN(),TRUE)</f>
        <v>0.8251164494</v>
      </c>
      <c r="O134" s="48">
        <f>VLOOKUP($A134,'Página15'!$A$1:$O$27,COLUMN(),TRUE)</f>
        <v>0.3581273507</v>
      </c>
      <c r="P134" s="73">
        <f t="shared" si="5"/>
        <v>2027</v>
      </c>
      <c r="Q134" s="73">
        <f t="shared" si="6"/>
        <v>1</v>
      </c>
    </row>
    <row r="135">
      <c r="A135" s="34">
        <v>46419.0</v>
      </c>
      <c r="B135" s="48">
        <f t="shared" si="7"/>
        <v>1.252277349</v>
      </c>
      <c r="C135" s="48">
        <f t="shared" si="2"/>
        <v>1.102992388</v>
      </c>
      <c r="D135" s="48">
        <f>IF(MONTH($A135)=12,2.333,1)*VLOOKUP($A135,'Página15'!$A$1:$O$27,COLUMN(),TRUE)</f>
        <v>1</v>
      </c>
      <c r="E135" s="48">
        <f t="shared" si="8"/>
        <v>1.329300436</v>
      </c>
      <c r="F135" s="48">
        <f t="shared" si="4"/>
        <v>1.15871216</v>
      </c>
      <c r="G135" s="48">
        <f>IF(MONTH($A135)=12,2.333,1)*VLOOKUP($A135,'Página15'!$A$1:$O$27,COLUMN(),TRUE)</f>
        <v>1</v>
      </c>
      <c r="H135" s="48">
        <f>VLOOKUP($A135,'Página15'!$A$1:$O$27,COLUMN(),TRUE)</f>
        <v>0.8110598463</v>
      </c>
      <c r="I135" s="48">
        <f>VLOOKUP($A135,'Página15'!$A$1:$O$27,COLUMN(),TRUE)</f>
        <v>0.452530659</v>
      </c>
      <c r="J135" s="48">
        <f>VLOOKUP($A135,'Página15'!$A$1:$O$27,COLUMN(),TRUE)</f>
        <v>0.8110576661</v>
      </c>
      <c r="K135" s="48">
        <f>VLOOKUP($A135,'Página15'!$A$1:$O$27,COLUMN(),TRUE)</f>
        <v>0.3243718319</v>
      </c>
      <c r="L135" s="48">
        <f>VLOOKUP($A135,'Página15'!$A$1:$O$27,COLUMN(),TRUE)</f>
        <v>0.8251183179</v>
      </c>
      <c r="M135" s="48">
        <f>VLOOKUP($A135,'Página15'!$A$1:$O$27,COLUMN(),TRUE)</f>
        <v>0.5171097355</v>
      </c>
      <c r="N135" s="48">
        <f>VLOOKUP($A135,'Página15'!$A$1:$O$27,COLUMN(),TRUE)</f>
        <v>0.8251164494</v>
      </c>
      <c r="O135" s="48">
        <f>VLOOKUP($A135,'Página15'!$A$1:$O$27,COLUMN(),TRUE)</f>
        <v>0.370661808</v>
      </c>
      <c r="P135" s="73">
        <f t="shared" si="5"/>
        <v>2027</v>
      </c>
      <c r="Q135" s="73">
        <f t="shared" si="6"/>
        <v>2</v>
      </c>
    </row>
    <row r="136">
      <c r="A136" s="34">
        <v>46447.0</v>
      </c>
      <c r="B136" s="48">
        <f t="shared" si="7"/>
        <v>1.252277349</v>
      </c>
      <c r="C136" s="48">
        <f t="shared" si="2"/>
        <v>1.102992388</v>
      </c>
      <c r="D136" s="48">
        <f>IF(MONTH($A136)=12,2.333,1)*VLOOKUP($A136,'Página15'!$A$1:$O$27,COLUMN(),TRUE)</f>
        <v>1</v>
      </c>
      <c r="E136" s="48">
        <f t="shared" si="8"/>
        <v>1.329300436</v>
      </c>
      <c r="F136" s="48">
        <f t="shared" si="4"/>
        <v>1.15871216</v>
      </c>
      <c r="G136" s="48">
        <f>IF(MONTH($A136)=12,2.333,1)*VLOOKUP($A136,'Página15'!$A$1:$O$27,COLUMN(),TRUE)</f>
        <v>1</v>
      </c>
      <c r="H136" s="48">
        <f>VLOOKUP($A136,'Página15'!$A$1:$O$27,COLUMN(),TRUE)</f>
        <v>0.8110598463</v>
      </c>
      <c r="I136" s="48">
        <f>VLOOKUP($A136,'Página15'!$A$1:$O$27,COLUMN(),TRUE)</f>
        <v>0.452530659</v>
      </c>
      <c r="J136" s="48">
        <f>VLOOKUP($A136,'Página15'!$A$1:$O$27,COLUMN(),TRUE)</f>
        <v>0.8110576661</v>
      </c>
      <c r="K136" s="48">
        <f>VLOOKUP($A136,'Página15'!$A$1:$O$27,COLUMN(),TRUE)</f>
        <v>0.3243718319</v>
      </c>
      <c r="L136" s="48">
        <f>VLOOKUP($A136,'Página15'!$A$1:$O$27,COLUMN(),TRUE)</f>
        <v>0.8251183179</v>
      </c>
      <c r="M136" s="48">
        <f>VLOOKUP($A136,'Página15'!$A$1:$O$27,COLUMN(),TRUE)</f>
        <v>0.5171097355</v>
      </c>
      <c r="N136" s="48">
        <f>VLOOKUP($A136,'Página15'!$A$1:$O$27,COLUMN(),TRUE)</f>
        <v>0.8251164494</v>
      </c>
      <c r="O136" s="48">
        <f>VLOOKUP($A136,'Página15'!$A$1:$O$27,COLUMN(),TRUE)</f>
        <v>0.370661808</v>
      </c>
      <c r="P136" s="73">
        <f t="shared" si="5"/>
        <v>2027</v>
      </c>
      <c r="Q136" s="73">
        <f t="shared" si="6"/>
        <v>3</v>
      </c>
    </row>
    <row r="137">
      <c r="A137" s="34">
        <v>46478.0</v>
      </c>
      <c r="B137" s="48">
        <f t="shared" si="7"/>
        <v>1.252277349</v>
      </c>
      <c r="C137" s="48">
        <f t="shared" si="2"/>
        <v>1.102992388</v>
      </c>
      <c r="D137" s="48">
        <f>IF(MONTH($A137)=12,2.333,1)*VLOOKUP($A137,'Página15'!$A$1:$O$27,COLUMN(),TRUE)</f>
        <v>1</v>
      </c>
      <c r="E137" s="48">
        <f t="shared" si="8"/>
        <v>1.329300436</v>
      </c>
      <c r="F137" s="48">
        <f t="shared" si="4"/>
        <v>1.15871216</v>
      </c>
      <c r="G137" s="48">
        <f>IF(MONTH($A137)=12,2.333,1)*VLOOKUP($A137,'Página15'!$A$1:$O$27,COLUMN(),TRUE)</f>
        <v>1</v>
      </c>
      <c r="H137" s="48">
        <f>VLOOKUP($A137,'Página15'!$A$1:$O$27,COLUMN(),TRUE)</f>
        <v>0.8110598463</v>
      </c>
      <c r="I137" s="48">
        <f>VLOOKUP($A137,'Página15'!$A$1:$O$27,COLUMN(),TRUE)</f>
        <v>0.452530659</v>
      </c>
      <c r="J137" s="48">
        <f>VLOOKUP($A137,'Página15'!$A$1:$O$27,COLUMN(),TRUE)</f>
        <v>0.8110576661</v>
      </c>
      <c r="K137" s="48">
        <f>VLOOKUP($A137,'Página15'!$A$1:$O$27,COLUMN(),TRUE)</f>
        <v>0.3243718319</v>
      </c>
      <c r="L137" s="48">
        <f>VLOOKUP($A137,'Página15'!$A$1:$O$27,COLUMN(),TRUE)</f>
        <v>0.8251183179</v>
      </c>
      <c r="M137" s="48">
        <f>VLOOKUP($A137,'Página15'!$A$1:$O$27,COLUMN(),TRUE)</f>
        <v>0.5171097355</v>
      </c>
      <c r="N137" s="48">
        <f>VLOOKUP($A137,'Página15'!$A$1:$O$27,COLUMN(),TRUE)</f>
        <v>0.8251164494</v>
      </c>
      <c r="O137" s="48">
        <f>VLOOKUP($A137,'Página15'!$A$1:$O$27,COLUMN(),TRUE)</f>
        <v>0.370661808</v>
      </c>
      <c r="P137" s="73">
        <f t="shared" si="5"/>
        <v>2027</v>
      </c>
      <c r="Q137" s="73">
        <f t="shared" si="6"/>
        <v>4</v>
      </c>
    </row>
    <row r="138">
      <c r="A138" s="34">
        <v>46508.0</v>
      </c>
      <c r="B138" s="48">
        <f t="shared" si="7"/>
        <v>1.252277349</v>
      </c>
      <c r="C138" s="48">
        <f t="shared" si="2"/>
        <v>1.102992388</v>
      </c>
      <c r="D138" s="48">
        <f>IF(MONTH($A138)=12,2.333,1)*VLOOKUP($A138,'Página15'!$A$1:$O$27,COLUMN(),TRUE)</f>
        <v>1</v>
      </c>
      <c r="E138" s="48">
        <f t="shared" si="8"/>
        <v>1.329300436</v>
      </c>
      <c r="F138" s="48">
        <f t="shared" si="4"/>
        <v>1.15871216</v>
      </c>
      <c r="G138" s="48">
        <f>IF(MONTH($A138)=12,2.333,1)*VLOOKUP($A138,'Página15'!$A$1:$O$27,COLUMN(),TRUE)</f>
        <v>1</v>
      </c>
      <c r="H138" s="48">
        <f>VLOOKUP($A138,'Página15'!$A$1:$O$27,COLUMN(),TRUE)</f>
        <v>0.8110598463</v>
      </c>
      <c r="I138" s="48">
        <f>VLOOKUP($A138,'Página15'!$A$1:$O$27,COLUMN(),TRUE)</f>
        <v>0.452530659</v>
      </c>
      <c r="J138" s="48">
        <f>VLOOKUP($A138,'Página15'!$A$1:$O$27,COLUMN(),TRUE)</f>
        <v>0.8110576661</v>
      </c>
      <c r="K138" s="48">
        <f>VLOOKUP($A138,'Página15'!$A$1:$O$27,COLUMN(),TRUE)</f>
        <v>0.3243718319</v>
      </c>
      <c r="L138" s="48">
        <f>VLOOKUP($A138,'Página15'!$A$1:$O$27,COLUMN(),TRUE)</f>
        <v>0.8251183179</v>
      </c>
      <c r="M138" s="48">
        <f>VLOOKUP($A138,'Página15'!$A$1:$O$27,COLUMN(),TRUE)</f>
        <v>0.5171097355</v>
      </c>
      <c r="N138" s="48">
        <f>VLOOKUP($A138,'Página15'!$A$1:$O$27,COLUMN(),TRUE)</f>
        <v>0.8251164494</v>
      </c>
      <c r="O138" s="48">
        <f>VLOOKUP($A138,'Página15'!$A$1:$O$27,COLUMN(),TRUE)</f>
        <v>0.370661808</v>
      </c>
      <c r="P138" s="73">
        <f t="shared" si="5"/>
        <v>2027</v>
      </c>
      <c r="Q138" s="73">
        <f t="shared" si="6"/>
        <v>5</v>
      </c>
    </row>
    <row r="139">
      <c r="A139" s="34">
        <v>46539.0</v>
      </c>
      <c r="B139" s="48">
        <f t="shared" si="7"/>
        <v>1.252277349</v>
      </c>
      <c r="C139" s="48">
        <f t="shared" si="2"/>
        <v>1.102992388</v>
      </c>
      <c r="D139" s="48">
        <f>IF(MONTH($A139)=12,2.333,1)*VLOOKUP($A139,'Página15'!$A$1:$O$27,COLUMN(),TRUE)</f>
        <v>1</v>
      </c>
      <c r="E139" s="48">
        <f t="shared" si="8"/>
        <v>1.329300436</v>
      </c>
      <c r="F139" s="48">
        <f t="shared" si="4"/>
        <v>1.15871216</v>
      </c>
      <c r="G139" s="48">
        <f>IF(MONTH($A139)=12,2.333,1)*VLOOKUP($A139,'Página15'!$A$1:$O$27,COLUMN(),TRUE)</f>
        <v>1</v>
      </c>
      <c r="H139" s="48">
        <f>VLOOKUP($A139,'Página15'!$A$1:$O$27,COLUMN(),TRUE)</f>
        <v>0.8110598463</v>
      </c>
      <c r="I139" s="48">
        <f>VLOOKUP($A139,'Página15'!$A$1:$O$27,COLUMN(),TRUE)</f>
        <v>0.452530659</v>
      </c>
      <c r="J139" s="48">
        <f>VLOOKUP($A139,'Página15'!$A$1:$O$27,COLUMN(),TRUE)</f>
        <v>0.8110576661</v>
      </c>
      <c r="K139" s="48">
        <f>VLOOKUP($A139,'Página15'!$A$1:$O$27,COLUMN(),TRUE)</f>
        <v>0.3243718319</v>
      </c>
      <c r="L139" s="48">
        <f>VLOOKUP($A139,'Página15'!$A$1:$O$27,COLUMN(),TRUE)</f>
        <v>0.8251183179</v>
      </c>
      <c r="M139" s="48">
        <f>VLOOKUP($A139,'Página15'!$A$1:$O$27,COLUMN(),TRUE)</f>
        <v>0.5171097355</v>
      </c>
      <c r="N139" s="48">
        <f>VLOOKUP($A139,'Página15'!$A$1:$O$27,COLUMN(),TRUE)</f>
        <v>0.8251164494</v>
      </c>
      <c r="O139" s="48">
        <f>VLOOKUP($A139,'Página15'!$A$1:$O$27,COLUMN(),TRUE)</f>
        <v>0.370661808</v>
      </c>
      <c r="P139" s="73">
        <f t="shared" si="5"/>
        <v>2027</v>
      </c>
      <c r="Q139" s="73">
        <f t="shared" si="6"/>
        <v>6</v>
      </c>
    </row>
    <row r="140">
      <c r="A140" s="34">
        <v>46569.0</v>
      </c>
      <c r="B140" s="48">
        <f t="shared" si="7"/>
        <v>1.252277349</v>
      </c>
      <c r="C140" s="48">
        <f t="shared" si="2"/>
        <v>1.102992388</v>
      </c>
      <c r="D140" s="48">
        <f>IF(MONTH($A140)=12,2.333,1)*VLOOKUP($A140,'Página15'!$A$1:$O$27,COLUMN(),TRUE)</f>
        <v>1</v>
      </c>
      <c r="E140" s="48">
        <f t="shared" si="8"/>
        <v>1.329300436</v>
      </c>
      <c r="F140" s="48">
        <f t="shared" si="4"/>
        <v>1.15871216</v>
      </c>
      <c r="G140" s="48">
        <f>IF(MONTH($A140)=12,2.333,1)*VLOOKUP($A140,'Página15'!$A$1:$O$27,COLUMN(),TRUE)</f>
        <v>1</v>
      </c>
      <c r="H140" s="48">
        <f>VLOOKUP($A140,'Página15'!$A$1:$O$27,COLUMN(),TRUE)</f>
        <v>0.8110598463</v>
      </c>
      <c r="I140" s="48">
        <f>VLOOKUP($A140,'Página15'!$A$1:$O$27,COLUMN(),TRUE)</f>
        <v>0.452530659</v>
      </c>
      <c r="J140" s="48">
        <f>VLOOKUP($A140,'Página15'!$A$1:$O$27,COLUMN(),TRUE)</f>
        <v>0.8110576661</v>
      </c>
      <c r="K140" s="48">
        <f>VLOOKUP($A140,'Página15'!$A$1:$O$27,COLUMN(),TRUE)</f>
        <v>0.3243718319</v>
      </c>
      <c r="L140" s="48">
        <f>VLOOKUP($A140,'Página15'!$A$1:$O$27,COLUMN(),TRUE)</f>
        <v>0.8251183179</v>
      </c>
      <c r="M140" s="48">
        <f>VLOOKUP($A140,'Página15'!$A$1:$O$27,COLUMN(),TRUE)</f>
        <v>0.5171097355</v>
      </c>
      <c r="N140" s="48">
        <f>VLOOKUP($A140,'Página15'!$A$1:$O$27,COLUMN(),TRUE)</f>
        <v>0.8251164494</v>
      </c>
      <c r="O140" s="48">
        <f>VLOOKUP($A140,'Página15'!$A$1:$O$27,COLUMN(),TRUE)</f>
        <v>0.370661808</v>
      </c>
      <c r="P140" s="73">
        <f t="shared" si="5"/>
        <v>2027</v>
      </c>
      <c r="Q140" s="73">
        <f t="shared" si="6"/>
        <v>7</v>
      </c>
    </row>
    <row r="141">
      <c r="A141" s="34">
        <v>46600.0</v>
      </c>
      <c r="B141" s="48">
        <f t="shared" si="7"/>
        <v>1.252277349</v>
      </c>
      <c r="C141" s="48">
        <f t="shared" si="2"/>
        <v>1.102992388</v>
      </c>
      <c r="D141" s="48">
        <f>IF(MONTH($A141)=12,2.333,1)*VLOOKUP($A141,'Página15'!$A$1:$O$27,COLUMN(),TRUE)</f>
        <v>1</v>
      </c>
      <c r="E141" s="48">
        <f t="shared" si="8"/>
        <v>1.329300436</v>
      </c>
      <c r="F141" s="48">
        <f t="shared" si="4"/>
        <v>1.15871216</v>
      </c>
      <c r="G141" s="48">
        <f>IF(MONTH($A141)=12,2.333,1)*VLOOKUP($A141,'Página15'!$A$1:$O$27,COLUMN(),TRUE)</f>
        <v>1</v>
      </c>
      <c r="H141" s="48">
        <f>VLOOKUP($A141,'Página15'!$A$1:$O$27,COLUMN(),TRUE)</f>
        <v>0.8110598463</v>
      </c>
      <c r="I141" s="48">
        <f>VLOOKUP($A141,'Página15'!$A$1:$O$27,COLUMN(),TRUE)</f>
        <v>0.452530659</v>
      </c>
      <c r="J141" s="48">
        <f>VLOOKUP($A141,'Página15'!$A$1:$O$27,COLUMN(),TRUE)</f>
        <v>0.8110576661</v>
      </c>
      <c r="K141" s="48">
        <f>VLOOKUP($A141,'Página15'!$A$1:$O$27,COLUMN(),TRUE)</f>
        <v>0.3243718319</v>
      </c>
      <c r="L141" s="48">
        <f>VLOOKUP($A141,'Página15'!$A$1:$O$27,COLUMN(),TRUE)</f>
        <v>0.8251183179</v>
      </c>
      <c r="M141" s="48">
        <f>VLOOKUP($A141,'Página15'!$A$1:$O$27,COLUMN(),TRUE)</f>
        <v>0.5171097355</v>
      </c>
      <c r="N141" s="48">
        <f>VLOOKUP($A141,'Página15'!$A$1:$O$27,COLUMN(),TRUE)</f>
        <v>0.8251164494</v>
      </c>
      <c r="O141" s="48">
        <f>VLOOKUP($A141,'Página15'!$A$1:$O$27,COLUMN(),TRUE)</f>
        <v>0.370661808</v>
      </c>
      <c r="P141" s="73">
        <f t="shared" si="5"/>
        <v>2027</v>
      </c>
      <c r="Q141" s="73">
        <f t="shared" si="6"/>
        <v>8</v>
      </c>
    </row>
    <row r="142">
      <c r="A142" s="34">
        <v>46631.0</v>
      </c>
      <c r="B142" s="48">
        <f t="shared" si="7"/>
        <v>1.252277349</v>
      </c>
      <c r="C142" s="48">
        <f t="shared" si="2"/>
        <v>1.102992388</v>
      </c>
      <c r="D142" s="48">
        <f>IF(MONTH($A142)=12,2.333,1)*VLOOKUP($A142,'Página15'!$A$1:$O$27,COLUMN(),TRUE)</f>
        <v>1</v>
      </c>
      <c r="E142" s="48">
        <f t="shared" si="8"/>
        <v>1.329300436</v>
      </c>
      <c r="F142" s="48">
        <f t="shared" si="4"/>
        <v>1.15871216</v>
      </c>
      <c r="G142" s="48">
        <f>IF(MONTH($A142)=12,2.333,1)*VLOOKUP($A142,'Página15'!$A$1:$O$27,COLUMN(),TRUE)</f>
        <v>1</v>
      </c>
      <c r="H142" s="48">
        <f>VLOOKUP($A142,'Página15'!$A$1:$O$27,COLUMN(),TRUE)</f>
        <v>0.8110598463</v>
      </c>
      <c r="I142" s="48">
        <f>VLOOKUP($A142,'Página15'!$A$1:$O$27,COLUMN(),TRUE)</f>
        <v>0.452530659</v>
      </c>
      <c r="J142" s="48">
        <f>VLOOKUP($A142,'Página15'!$A$1:$O$27,COLUMN(),TRUE)</f>
        <v>0.8110576661</v>
      </c>
      <c r="K142" s="48">
        <f>VLOOKUP($A142,'Página15'!$A$1:$O$27,COLUMN(),TRUE)</f>
        <v>0.3243718319</v>
      </c>
      <c r="L142" s="48">
        <f>VLOOKUP($A142,'Página15'!$A$1:$O$27,COLUMN(),TRUE)</f>
        <v>0.8251183179</v>
      </c>
      <c r="M142" s="48">
        <f>VLOOKUP($A142,'Página15'!$A$1:$O$27,COLUMN(),TRUE)</f>
        <v>0.5171097355</v>
      </c>
      <c r="N142" s="48">
        <f>VLOOKUP($A142,'Página15'!$A$1:$O$27,COLUMN(),TRUE)</f>
        <v>0.8251164494</v>
      </c>
      <c r="O142" s="48">
        <f>VLOOKUP($A142,'Página15'!$A$1:$O$27,COLUMN(),TRUE)</f>
        <v>0.370661808</v>
      </c>
      <c r="P142" s="73">
        <f t="shared" si="5"/>
        <v>2027</v>
      </c>
      <c r="Q142" s="73">
        <f t="shared" si="6"/>
        <v>9</v>
      </c>
    </row>
    <row r="143">
      <c r="A143" s="34">
        <v>46661.0</v>
      </c>
      <c r="B143" s="48">
        <f t="shared" si="7"/>
        <v>1.252277349</v>
      </c>
      <c r="C143" s="48">
        <f t="shared" si="2"/>
        <v>1.102992388</v>
      </c>
      <c r="D143" s="48">
        <f>IF(MONTH($A143)=12,2.333,1)*VLOOKUP($A143,'Página15'!$A$1:$O$27,COLUMN(),TRUE)</f>
        <v>1</v>
      </c>
      <c r="E143" s="48">
        <f t="shared" si="8"/>
        <v>1.329300436</v>
      </c>
      <c r="F143" s="48">
        <f t="shared" si="4"/>
        <v>1.15871216</v>
      </c>
      <c r="G143" s="48">
        <f>IF(MONTH($A143)=12,2.333,1)*VLOOKUP($A143,'Página15'!$A$1:$O$27,COLUMN(),TRUE)</f>
        <v>1</v>
      </c>
      <c r="H143" s="48">
        <f>VLOOKUP($A143,'Página15'!$A$1:$O$27,COLUMN(),TRUE)</f>
        <v>0.8110598463</v>
      </c>
      <c r="I143" s="48">
        <f>VLOOKUP($A143,'Página15'!$A$1:$O$27,COLUMN(),TRUE)</f>
        <v>0.452530659</v>
      </c>
      <c r="J143" s="48">
        <f>VLOOKUP($A143,'Página15'!$A$1:$O$27,COLUMN(),TRUE)</f>
        <v>0.8110576661</v>
      </c>
      <c r="K143" s="48">
        <f>VLOOKUP($A143,'Página15'!$A$1:$O$27,COLUMN(),TRUE)</f>
        <v>0.3243718319</v>
      </c>
      <c r="L143" s="48">
        <f>VLOOKUP($A143,'Página15'!$A$1:$O$27,COLUMN(),TRUE)</f>
        <v>0.8251183179</v>
      </c>
      <c r="M143" s="48">
        <f>VLOOKUP($A143,'Página15'!$A$1:$O$27,COLUMN(),TRUE)</f>
        <v>0.5171097355</v>
      </c>
      <c r="N143" s="48">
        <f>VLOOKUP($A143,'Página15'!$A$1:$O$27,COLUMN(),TRUE)</f>
        <v>0.8251164494</v>
      </c>
      <c r="O143" s="48">
        <f>VLOOKUP($A143,'Página15'!$A$1:$O$27,COLUMN(),TRUE)</f>
        <v>0.370661808</v>
      </c>
      <c r="P143" s="73">
        <f t="shared" si="5"/>
        <v>2027</v>
      </c>
      <c r="Q143" s="73">
        <f t="shared" si="6"/>
        <v>10</v>
      </c>
    </row>
    <row r="144">
      <c r="A144" s="34">
        <v>46692.0</v>
      </c>
      <c r="B144" s="48">
        <f t="shared" si="7"/>
        <v>1.252277349</v>
      </c>
      <c r="C144" s="48">
        <f t="shared" si="2"/>
        <v>1.102992388</v>
      </c>
      <c r="D144" s="48">
        <f>IF(MONTH($A144)=12,2.333,1)*VLOOKUP($A144,'Página15'!$A$1:$O$27,COLUMN(),TRUE)</f>
        <v>1</v>
      </c>
      <c r="E144" s="48">
        <f t="shared" si="8"/>
        <v>1.329300436</v>
      </c>
      <c r="F144" s="48">
        <f t="shared" si="4"/>
        <v>1.15871216</v>
      </c>
      <c r="G144" s="48">
        <f>IF(MONTH($A144)=12,2.333,1)*VLOOKUP($A144,'Página15'!$A$1:$O$27,COLUMN(),TRUE)</f>
        <v>1</v>
      </c>
      <c r="H144" s="48">
        <f>VLOOKUP($A144,'Página15'!$A$1:$O$27,COLUMN(),TRUE)</f>
        <v>0.8110598463</v>
      </c>
      <c r="I144" s="48">
        <f>VLOOKUP($A144,'Página15'!$A$1:$O$27,COLUMN(),TRUE)</f>
        <v>0.452530659</v>
      </c>
      <c r="J144" s="48">
        <f>VLOOKUP($A144,'Página15'!$A$1:$O$27,COLUMN(),TRUE)</f>
        <v>0.8110576661</v>
      </c>
      <c r="K144" s="48">
        <f>VLOOKUP($A144,'Página15'!$A$1:$O$27,COLUMN(),TRUE)</f>
        <v>0.3243718319</v>
      </c>
      <c r="L144" s="48">
        <f>VLOOKUP($A144,'Página15'!$A$1:$O$27,COLUMN(),TRUE)</f>
        <v>0.8251183179</v>
      </c>
      <c r="M144" s="48">
        <f>VLOOKUP($A144,'Página15'!$A$1:$O$27,COLUMN(),TRUE)</f>
        <v>0.5171097355</v>
      </c>
      <c r="N144" s="48">
        <f>VLOOKUP($A144,'Página15'!$A$1:$O$27,COLUMN(),TRUE)</f>
        <v>0.8251164494</v>
      </c>
      <c r="O144" s="48">
        <f>VLOOKUP($A144,'Página15'!$A$1:$O$27,COLUMN(),TRUE)</f>
        <v>0.370661808</v>
      </c>
      <c r="P144" s="73">
        <f t="shared" si="5"/>
        <v>2027</v>
      </c>
      <c r="Q144" s="73">
        <f t="shared" si="6"/>
        <v>11</v>
      </c>
    </row>
    <row r="145">
      <c r="A145" s="34">
        <v>46722.0</v>
      </c>
      <c r="B145" s="48">
        <f t="shared" si="7"/>
        <v>2.921563055</v>
      </c>
      <c r="C145" s="48">
        <f t="shared" si="2"/>
        <v>2.573281241</v>
      </c>
      <c r="D145" s="48">
        <f>IF(MONTH($A145)=12,2.333,1)*VLOOKUP($A145,'Página15'!$A$1:$O$27,COLUMN(),TRUE)</f>
        <v>2.333</v>
      </c>
      <c r="E145" s="48">
        <f t="shared" si="8"/>
        <v>3.101257917</v>
      </c>
      <c r="F145" s="48">
        <f t="shared" si="4"/>
        <v>2.703275469</v>
      </c>
      <c r="G145" s="48">
        <f>IF(MONTH($A145)=12,2.333,1)*VLOOKUP($A145,'Página15'!$A$1:$O$27,COLUMN(),TRUE)</f>
        <v>2.333</v>
      </c>
      <c r="H145" s="48">
        <f>VLOOKUP($A145,'Página15'!$A$1:$O$27,COLUMN(),TRUE)</f>
        <v>0.8110598463</v>
      </c>
      <c r="I145" s="48">
        <f>VLOOKUP($A145,'Página15'!$A$1:$O$27,COLUMN(),TRUE)</f>
        <v>0.452530659</v>
      </c>
      <c r="J145" s="48">
        <f>VLOOKUP($A145,'Página15'!$A$1:$O$27,COLUMN(),TRUE)</f>
        <v>0.8110576661</v>
      </c>
      <c r="K145" s="48">
        <f>VLOOKUP($A145,'Página15'!$A$1:$O$27,COLUMN(),TRUE)</f>
        <v>0.3243718319</v>
      </c>
      <c r="L145" s="48">
        <f>VLOOKUP($A145,'Página15'!$A$1:$O$27,COLUMN(),TRUE)</f>
        <v>0.8251183179</v>
      </c>
      <c r="M145" s="48">
        <f>VLOOKUP($A145,'Página15'!$A$1:$O$27,COLUMN(),TRUE)</f>
        <v>0.5171097355</v>
      </c>
      <c r="N145" s="48">
        <f>VLOOKUP($A145,'Página15'!$A$1:$O$27,COLUMN(),TRUE)</f>
        <v>0.8251164494</v>
      </c>
      <c r="O145" s="48">
        <f>VLOOKUP($A145,'Página15'!$A$1:$O$27,COLUMN(),TRUE)</f>
        <v>0.370661808</v>
      </c>
      <c r="P145" s="73">
        <f t="shared" si="5"/>
        <v>2027</v>
      </c>
      <c r="Q145" s="73">
        <f t="shared" si="6"/>
        <v>12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2" width="9.63"/>
    <col customWidth="1" min="3" max="3" width="10.0"/>
    <col customWidth="1" min="4" max="4" width="9.63"/>
    <col customWidth="1" min="5" max="7" width="11.5"/>
  </cols>
  <sheetData>
    <row r="1">
      <c r="A1" s="32" t="s">
        <v>97</v>
      </c>
      <c r="B1" s="33" t="str">
        <f>'Página16'!B1</f>
        <v>PGFN (bruto)</v>
      </c>
      <c r="C1" s="33" t="str">
        <f>'Página16'!C1</f>
        <v>SERFB (bruto)</v>
      </c>
      <c r="D1" s="33" t="str">
        <f>'Página16'!D1</f>
        <v>STN (bruto)</v>
      </c>
      <c r="E1" s="33" t="str">
        <f>'Página16'!E1</f>
        <v>PGFN (líquido)</v>
      </c>
      <c r="F1" s="33" t="str">
        <f>'Página16'!F1</f>
        <v>SERFB (líquido)</v>
      </c>
      <c r="G1" s="33" t="str">
        <f>'Página16'!G1</f>
        <v>STN (líquido)</v>
      </c>
    </row>
    <row r="2">
      <c r="A2" s="74">
        <v>2016.0</v>
      </c>
      <c r="B2" s="75">
        <f>SUMIF('Página16'!$P$2:$P$145,$A2,'Página16'!B$2:B$145)</f>
        <v>14.79241536</v>
      </c>
      <c r="C2" s="75">
        <f>SUMIF('Página16'!$P$2:$P$145,$A2,'Página16'!C$2:C$145)</f>
        <v>14.32520589</v>
      </c>
      <c r="D2" s="75">
        <f>SUMIF('Página16'!$P$2:$P$145,$A2,'Página16'!D$2:D$145)</f>
        <v>13.333</v>
      </c>
      <c r="E2" s="75">
        <f>SUMIF('Página16'!$P$2:$P$145,$A2,'Página16'!E$2:E$145)</f>
        <v>14.79749312</v>
      </c>
      <c r="F2" s="75">
        <f>SUMIF('Página16'!$P$2:$P$145,$A2,'Página16'!F$2:F$145)</f>
        <v>14.34264797</v>
      </c>
      <c r="G2" s="75">
        <f>SUMIF('Página16'!$P$2:$P$145,$A2,'Página16'!G$2:G$145)</f>
        <v>13.333</v>
      </c>
    </row>
    <row r="3">
      <c r="A3" s="74">
        <v>2017.0</v>
      </c>
      <c r="B3" s="75">
        <f>SUMIF('Página16'!$P$2:$P$145,$A3,'Página16'!B$2:B$145)</f>
        <v>15.59545625</v>
      </c>
      <c r="C3" s="75">
        <f>SUMIF('Página16'!$P$2:$P$145,$A3,'Página16'!C$2:C$145)</f>
        <v>15.26613311</v>
      </c>
      <c r="D3" s="75">
        <f>SUMIF('Página16'!$P$2:$P$145,$A3,'Página16'!D$2:D$145)</f>
        <v>13.333</v>
      </c>
      <c r="E3" s="75">
        <f>SUMIF('Página16'!$P$2:$P$145,$A3,'Página16'!E$2:E$145)</f>
        <v>15.68896414</v>
      </c>
      <c r="F3" s="75">
        <f>SUMIF('Página16'!$P$2:$P$145,$A3,'Página16'!F$2:F$145)</f>
        <v>15.33850251</v>
      </c>
      <c r="G3" s="75">
        <f>SUMIF('Página16'!$P$2:$P$145,$A3,'Página16'!G$2:G$145)</f>
        <v>13.333</v>
      </c>
    </row>
    <row r="4">
      <c r="A4" s="74">
        <v>2018.0</v>
      </c>
      <c r="B4" s="75">
        <f>SUMIF('Página16'!$P$2:$P$145,$A4,'Página16'!B$2:B$145)</f>
        <v>16.58559823</v>
      </c>
      <c r="C4" s="75">
        <f>SUMIF('Página16'!$P$2:$P$145,$A4,'Página16'!C$2:C$145)</f>
        <v>14.92922482</v>
      </c>
      <c r="D4" s="75">
        <f>SUMIF('Página16'!$P$2:$P$145,$A4,'Página16'!D$2:D$145)</f>
        <v>13.333</v>
      </c>
      <c r="E4" s="75">
        <f>SUMIF('Página16'!$P$2:$P$145,$A4,'Página16'!E$2:E$145)</f>
        <v>16.78261153</v>
      </c>
      <c r="F4" s="75">
        <f>SUMIF('Página16'!$P$2:$P$145,$A4,'Página16'!F$2:F$145)</f>
        <v>15.01406918</v>
      </c>
      <c r="G4" s="75">
        <f>SUMIF('Página16'!$P$2:$P$145,$A4,'Página16'!G$2:G$145)</f>
        <v>13.333</v>
      </c>
    </row>
    <row r="5">
      <c r="A5" s="74">
        <v>2019.0</v>
      </c>
      <c r="B5" s="75">
        <f>SUMIF('Página16'!$P$2:$P$145,$A5,'Página16'!B$2:B$145)</f>
        <v>16.46473227</v>
      </c>
      <c r="C5" s="75">
        <f>SUMIF('Página16'!$P$2:$P$145,$A5,'Página16'!C$2:C$145)</f>
        <v>14.6161161</v>
      </c>
      <c r="D5" s="75">
        <f>SUMIF('Página16'!$P$2:$P$145,$A5,'Página16'!D$2:D$145)</f>
        <v>13.333</v>
      </c>
      <c r="E5" s="75">
        <f>SUMIF('Página16'!$P$2:$P$145,$A5,'Página16'!E$2:E$145)</f>
        <v>16.69048947</v>
      </c>
      <c r="F5" s="75">
        <f>SUMIF('Página16'!$P$2:$P$145,$A5,'Página16'!F$2:F$145)</f>
        <v>14.71084986</v>
      </c>
      <c r="G5" s="75">
        <f>SUMIF('Página16'!$P$2:$P$145,$A5,'Página16'!G$2:G$145)</f>
        <v>13.333</v>
      </c>
    </row>
    <row r="6">
      <c r="A6" s="74">
        <v>2020.0</v>
      </c>
      <c r="B6" s="75">
        <f>SUMIF('Página16'!$P$2:$P$145,$A6,'Página16'!B$2:B$145)</f>
        <v>16.85087742</v>
      </c>
      <c r="C6" s="75">
        <f>SUMIF('Página16'!$P$2:$P$145,$A6,'Página16'!C$2:C$145)</f>
        <v>14.6161161</v>
      </c>
      <c r="D6" s="75">
        <f>SUMIF('Página16'!$P$2:$P$145,$A6,'Página16'!D$2:D$145)</f>
        <v>13.333</v>
      </c>
      <c r="E6" s="75">
        <f>SUMIF('Página16'!$P$2:$P$145,$A6,'Página16'!E$2:E$145)</f>
        <v>17.27731303</v>
      </c>
      <c r="F6" s="75">
        <f>SUMIF('Página16'!$P$2:$P$145,$A6,'Página16'!F$2:F$145)</f>
        <v>14.77540388</v>
      </c>
      <c r="G6" s="75">
        <f>SUMIF('Página16'!$P$2:$P$145,$A6,'Página16'!G$2:G$145)</f>
        <v>13.333</v>
      </c>
    </row>
    <row r="7">
      <c r="A7" s="74">
        <v>2021.0</v>
      </c>
      <c r="B7" s="75">
        <f>SUMIF('Página16'!$P$2:$P$145,$A7,'Página16'!B$2:B$145)</f>
        <v>17.50725466</v>
      </c>
      <c r="C7" s="75">
        <f>SUMIF('Página16'!$P$2:$P$145,$A7,'Página16'!C$2:C$145)</f>
        <v>14.6161161</v>
      </c>
      <c r="D7" s="75">
        <f>SUMIF('Página16'!$P$2:$P$145,$A7,'Página16'!D$2:D$145)</f>
        <v>13.333</v>
      </c>
      <c r="E7" s="75">
        <f>SUMIF('Página16'!$P$2:$P$145,$A7,'Página16'!E$2:E$145)</f>
        <v>18.03744038</v>
      </c>
      <c r="F7" s="75">
        <f>SUMIF('Página16'!$P$2:$P$145,$A7,'Página16'!F$2:F$145)</f>
        <v>14.7838575</v>
      </c>
      <c r="G7" s="75">
        <f>SUMIF('Página16'!$P$2:$P$145,$A7,'Página16'!G$2:G$145)</f>
        <v>13.333</v>
      </c>
    </row>
    <row r="8">
      <c r="A8" s="74">
        <v>2022.0</v>
      </c>
      <c r="B8" s="75">
        <f>SUMIF('Página16'!$P$2:$P$145,$A8,'Página16'!B$2:B$145)</f>
        <v>18.91810741</v>
      </c>
      <c r="C8" s="75">
        <f>SUMIF('Página16'!$P$2:$P$145,$A8,'Página16'!C$2:C$145)</f>
        <v>14.6161161</v>
      </c>
      <c r="D8" s="75">
        <f>SUMIF('Página16'!$P$2:$P$145,$A8,'Página16'!D$2:D$145)</f>
        <v>13.333</v>
      </c>
      <c r="E8" s="75">
        <f>SUMIF('Página16'!$P$2:$P$145,$A8,'Página16'!E$2:E$145)</f>
        <v>19.60024734</v>
      </c>
      <c r="F8" s="75">
        <f>SUMIF('Página16'!$P$2:$P$145,$A8,'Página16'!F$2:F$145)</f>
        <v>14.7781099</v>
      </c>
      <c r="G8" s="75">
        <f>SUMIF('Página16'!$P$2:$P$145,$A8,'Página16'!G$2:G$145)</f>
        <v>13.333</v>
      </c>
    </row>
    <row r="9">
      <c r="A9" s="74">
        <v>2023.0</v>
      </c>
      <c r="B9" s="75">
        <f>SUMIF('Página16'!$P$2:$P$145,$A9,'Página16'!B$2:B$145)</f>
        <v>18.71102604</v>
      </c>
      <c r="C9" s="75">
        <f>SUMIF('Página16'!$P$2:$P$145,$A9,'Página16'!C$2:C$145)</f>
        <v>14.54009687</v>
      </c>
      <c r="D9" s="75">
        <f>SUMIF('Página16'!$P$2:$P$145,$A9,'Página16'!D$2:D$145)</f>
        <v>13.333</v>
      </c>
      <c r="E9" s="75">
        <f>SUMIF('Página16'!$P$2:$P$145,$A9,'Página16'!E$2:E$145)</f>
        <v>19.38106922</v>
      </c>
      <c r="F9" s="75">
        <f>SUMIF('Página16'!$P$2:$P$145,$A9,'Página16'!F$2:F$145)</f>
        <v>14.69592092</v>
      </c>
      <c r="G9" s="75">
        <f>SUMIF('Página16'!$P$2:$P$145,$A9,'Página16'!G$2:G$145)</f>
        <v>13.333</v>
      </c>
    </row>
    <row r="10">
      <c r="A10" s="74">
        <v>2024.0</v>
      </c>
      <c r="B10" s="75">
        <f>SUMIF('Página16'!$P$2:$P$145,$A10,'Página16'!B$2:B$145)</f>
        <v>19.4321424</v>
      </c>
      <c r="C10" s="75">
        <f>SUMIF('Página16'!$P$2:$P$145,$A10,'Página16'!C$2:C$145)</f>
        <v>15.16113599</v>
      </c>
      <c r="D10" s="75">
        <f>SUMIF('Página16'!$P$2:$P$145,$A10,'Página16'!D$2:D$145)</f>
        <v>13.333</v>
      </c>
      <c r="E10" s="75">
        <f>SUMIF('Página16'!$P$2:$P$145,$A10,'Página16'!E$2:E$145)</f>
        <v>20.19237881</v>
      </c>
      <c r="F10" s="75">
        <f>SUMIF('Página16'!$P$2:$P$145,$A10,'Página16'!F$2:F$145)</f>
        <v>15.39380202</v>
      </c>
      <c r="G10" s="75">
        <f>SUMIF('Página16'!$P$2:$P$145,$A10,'Página16'!G$2:G$145)</f>
        <v>13.333</v>
      </c>
    </row>
    <row r="11">
      <c r="A11" s="74">
        <v>2025.0</v>
      </c>
      <c r="B11" s="75">
        <f>SUMIF('Página16'!$P$2:$P$145,$A11,'Página16'!B$2:B$145)</f>
        <v>18.44783222</v>
      </c>
      <c r="C11" s="75">
        <f>SUMIF('Página16'!$P$2:$P$145,$A11,'Página16'!C$2:C$145)</f>
        <v>14.47739887</v>
      </c>
      <c r="D11" s="75">
        <f>SUMIF('Página16'!$P$2:$P$145,$A11,'Página16'!D$2:D$145)</f>
        <v>13.333</v>
      </c>
      <c r="E11" s="75">
        <f>SUMIF('Página16'!$P$2:$P$145,$A11,'Página16'!E$2:E$145)</f>
        <v>19.41928616</v>
      </c>
      <c r="F11" s="75">
        <f>SUMIF('Página16'!$P$2:$P$145,$A11,'Página16'!F$2:F$145)</f>
        <v>14.91877163</v>
      </c>
      <c r="G11" s="75">
        <f>SUMIF('Página16'!$P$2:$P$145,$A11,'Página16'!G$2:G$145)</f>
        <v>13.333</v>
      </c>
    </row>
    <row r="12">
      <c r="A12" s="74">
        <v>2026.0</v>
      </c>
      <c r="B12" s="75">
        <f>SUMIF('Página16'!$P$2:$P$145,$A12,'Página16'!B$2:B$145)</f>
        <v>17.10628062</v>
      </c>
      <c r="C12" s="75">
        <f>SUMIF('Página16'!$P$2:$P$145,$A12,'Página16'!C$2:C$145)</f>
        <v>14.5649483</v>
      </c>
      <c r="D12" s="75">
        <f>SUMIF('Página16'!$P$2:$P$145,$A12,'Página16'!D$2:D$145)</f>
        <v>13.333</v>
      </c>
      <c r="E12" s="75">
        <f>SUMIF('Página16'!$P$2:$P$145,$A12,'Página16'!E$2:E$145)</f>
        <v>18.1228299</v>
      </c>
      <c r="F12" s="75">
        <f>SUMIF('Página16'!$P$2:$P$145,$A12,'Página16'!F$2:F$145)</f>
        <v>15.22708897</v>
      </c>
      <c r="G12" s="75">
        <f>SUMIF('Página16'!$P$2:$P$145,$A12,'Página16'!G$2:G$145)</f>
        <v>13.333</v>
      </c>
    </row>
    <row r="13">
      <c r="A13" s="74">
        <v>2027.0</v>
      </c>
      <c r="B13" s="75">
        <f>SUMIF('Página16'!$P$2:$P$145,$A13,'Página16'!B$2:B$145)</f>
        <v>16.6966139</v>
      </c>
      <c r="C13" s="75">
        <f>SUMIF('Página16'!$P$2:$P$145,$A13,'Página16'!C$2:C$145)</f>
        <v>14.69632532</v>
      </c>
      <c r="D13" s="75">
        <f>SUMIF('Página16'!$P$2:$P$145,$A13,'Página16'!D$2:D$145)</f>
        <v>13.333</v>
      </c>
      <c r="E13" s="75">
        <f>SUMIF('Página16'!$P$2:$P$145,$A13,'Página16'!E$2:E$145)</f>
        <v>17.72356271</v>
      </c>
      <c r="F13" s="75">
        <f>SUMIF('Página16'!$P$2:$P$145,$A13,'Página16'!F$2:F$145)</f>
        <v>15.43782821</v>
      </c>
      <c r="G13" s="75">
        <f>SUMIF('Página16'!$P$2:$P$145,$A13,'Página16'!G$2:G$145)</f>
        <v>13.333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2" width="9.63"/>
    <col customWidth="1" min="3" max="3" width="10.0"/>
    <col customWidth="1" min="4" max="4" width="9.63"/>
    <col customWidth="1" min="5" max="7" width="11.5"/>
  </cols>
  <sheetData>
    <row r="1">
      <c r="A1" s="32" t="s">
        <v>97</v>
      </c>
      <c r="B1" s="33" t="str">
        <f>'Página17'!B1</f>
        <v>PGFN (bruto)</v>
      </c>
      <c r="C1" s="33" t="str">
        <f>'Página17'!C1</f>
        <v>SERFB (bruto)</v>
      </c>
      <c r="D1" s="33" t="str">
        <f>'Página17'!D1</f>
        <v>STN (bruto)</v>
      </c>
      <c r="E1" s="33" t="str">
        <f>'Página17'!E1</f>
        <v>PGFN (líquido)</v>
      </c>
      <c r="F1" s="33" t="str">
        <f>'Página17'!F1</f>
        <v>SERFB (líquido)</v>
      </c>
      <c r="G1" s="33" t="str">
        <f>'Página17'!G1</f>
        <v>STN (líquido)</v>
      </c>
    </row>
    <row r="2">
      <c r="A2" s="74">
        <v>2016.0</v>
      </c>
      <c r="B2" s="76">
        <f>'Página17'!B2</f>
        <v>14.79241536</v>
      </c>
      <c r="C2" s="76">
        <f>'Página17'!C2</f>
        <v>14.32520589</v>
      </c>
      <c r="D2" s="76">
        <f>'Página17'!D2</f>
        <v>13.333</v>
      </c>
      <c r="E2" s="76">
        <f>'Página17'!E2</f>
        <v>14.79749312</v>
      </c>
      <c r="F2" s="76">
        <f>'Página17'!F2</f>
        <v>14.34264797</v>
      </c>
      <c r="G2" s="76">
        <f>'Página17'!G2</f>
        <v>13.333</v>
      </c>
    </row>
    <row r="3">
      <c r="A3" s="74">
        <v>2017.0</v>
      </c>
      <c r="B3" s="76">
        <f>'Página17'!B3+B2</f>
        <v>30.38787161</v>
      </c>
      <c r="C3" s="76">
        <f>'Página17'!C3+C2</f>
        <v>29.59133901</v>
      </c>
      <c r="D3" s="76">
        <f>'Página17'!D3+D2</f>
        <v>26.666</v>
      </c>
      <c r="E3" s="76">
        <f>'Página17'!E3+E2</f>
        <v>30.48645727</v>
      </c>
      <c r="F3" s="76">
        <f>'Página17'!F3+F2</f>
        <v>29.68115047</v>
      </c>
      <c r="G3" s="76">
        <f>'Página17'!G3+G2</f>
        <v>26.666</v>
      </c>
    </row>
    <row r="4">
      <c r="A4" s="74">
        <v>2018.0</v>
      </c>
      <c r="B4" s="76">
        <f>'Página17'!B4+B3</f>
        <v>46.97346984</v>
      </c>
      <c r="C4" s="76">
        <f>'Página17'!C4+C3</f>
        <v>44.52056382</v>
      </c>
      <c r="D4" s="76">
        <f>'Página17'!D4+D3</f>
        <v>39.999</v>
      </c>
      <c r="E4" s="76">
        <f>'Página17'!E4+E3</f>
        <v>47.2690688</v>
      </c>
      <c r="F4" s="76">
        <f>'Página17'!F4+F3</f>
        <v>44.69521965</v>
      </c>
      <c r="G4" s="76">
        <f>'Página17'!G4+G3</f>
        <v>39.999</v>
      </c>
    </row>
    <row r="5">
      <c r="A5" s="74">
        <v>2019.0</v>
      </c>
      <c r="B5" s="76">
        <f>'Página17'!B5+B4</f>
        <v>63.43820211</v>
      </c>
      <c r="C5" s="76">
        <f>'Página17'!C5+C4</f>
        <v>59.13667993</v>
      </c>
      <c r="D5" s="76">
        <f>'Página17'!D5+D4</f>
        <v>53.332</v>
      </c>
      <c r="E5" s="76">
        <f>'Página17'!E5+E4</f>
        <v>63.95955826</v>
      </c>
      <c r="F5" s="76">
        <f>'Página17'!F5+F4</f>
        <v>59.40606951</v>
      </c>
      <c r="G5" s="76">
        <f>'Página17'!G5+G4</f>
        <v>53.332</v>
      </c>
    </row>
    <row r="6">
      <c r="A6" s="74">
        <v>2020.0</v>
      </c>
      <c r="B6" s="76">
        <f>'Página17'!B6+B5</f>
        <v>80.28907953</v>
      </c>
      <c r="C6" s="76">
        <f>'Página17'!C6+C5</f>
        <v>73.75279603</v>
      </c>
      <c r="D6" s="76">
        <f>'Página17'!D6+D5</f>
        <v>66.665</v>
      </c>
      <c r="E6" s="76">
        <f>'Página17'!E6+E5</f>
        <v>81.23687129</v>
      </c>
      <c r="F6" s="76">
        <f>'Página17'!F6+F5</f>
        <v>74.18147339</v>
      </c>
      <c r="G6" s="76">
        <f>'Página17'!G6+G5</f>
        <v>66.665</v>
      </c>
    </row>
    <row r="7">
      <c r="A7" s="74">
        <v>2021.0</v>
      </c>
      <c r="B7" s="76">
        <f>'Página17'!B7+B6</f>
        <v>97.79633419</v>
      </c>
      <c r="C7" s="76">
        <f>'Página17'!C7+C6</f>
        <v>88.36891214</v>
      </c>
      <c r="D7" s="76">
        <f>'Página17'!D7+D6</f>
        <v>79.998</v>
      </c>
      <c r="E7" s="76">
        <f>'Página17'!E7+E6</f>
        <v>99.27431167</v>
      </c>
      <c r="F7" s="76">
        <f>'Página17'!F7+F6</f>
        <v>88.96533089</v>
      </c>
      <c r="G7" s="76">
        <f>'Página17'!G7+G6</f>
        <v>79.998</v>
      </c>
    </row>
    <row r="8">
      <c r="A8" s="74">
        <v>2022.0</v>
      </c>
      <c r="B8" s="76">
        <f>'Página17'!B8+B7</f>
        <v>116.7144416</v>
      </c>
      <c r="C8" s="76">
        <f>'Página17'!C8+C7</f>
        <v>102.9850282</v>
      </c>
      <c r="D8" s="76">
        <f>'Página17'!D8+D7</f>
        <v>93.331</v>
      </c>
      <c r="E8" s="76">
        <f>'Página17'!E8+E7</f>
        <v>118.874559</v>
      </c>
      <c r="F8" s="76">
        <f>'Página17'!F8+F7</f>
        <v>103.7434408</v>
      </c>
      <c r="G8" s="76">
        <f>'Página17'!G8+G7</f>
        <v>93.331</v>
      </c>
    </row>
    <row r="9">
      <c r="A9" s="74">
        <v>2023.0</v>
      </c>
      <c r="B9" s="76">
        <f>'Página17'!B9+B8</f>
        <v>135.4254676</v>
      </c>
      <c r="C9" s="76">
        <f>'Página17'!C9+C8</f>
        <v>117.5251251</v>
      </c>
      <c r="D9" s="76">
        <f>'Página17'!D9+D8</f>
        <v>106.664</v>
      </c>
      <c r="E9" s="76">
        <f>'Página17'!E9+E8</f>
        <v>138.2556282</v>
      </c>
      <c r="F9" s="76">
        <f>'Página17'!F9+F8</f>
        <v>118.4393617</v>
      </c>
      <c r="G9" s="76">
        <f>'Página17'!G9+G8</f>
        <v>106.664</v>
      </c>
    </row>
    <row r="10">
      <c r="A10" s="74">
        <v>2024.0</v>
      </c>
      <c r="B10" s="76">
        <f>'Página17'!B10+B9</f>
        <v>154.85761</v>
      </c>
      <c r="C10" s="76">
        <f>'Página17'!C10+C9</f>
        <v>132.6862611</v>
      </c>
      <c r="D10" s="76">
        <f>'Página17'!D10+D9</f>
        <v>119.997</v>
      </c>
      <c r="E10" s="76">
        <f>'Página17'!E10+E9</f>
        <v>158.448007</v>
      </c>
      <c r="F10" s="76">
        <f>'Página17'!F10+F9</f>
        <v>133.8331637</v>
      </c>
      <c r="G10" s="76">
        <f>'Página17'!G10+G9</f>
        <v>119.997</v>
      </c>
    </row>
    <row r="11">
      <c r="A11" s="74">
        <v>2025.0</v>
      </c>
      <c r="B11" s="76">
        <f>'Página17'!B11+B10</f>
        <v>173.3054423</v>
      </c>
      <c r="C11" s="76">
        <f>'Página17'!C11+C10</f>
        <v>147.16366</v>
      </c>
      <c r="D11" s="76">
        <f>'Página17'!D11+D10</f>
        <v>133.33</v>
      </c>
      <c r="E11" s="76">
        <f>'Página17'!E11+E10</f>
        <v>177.8672932</v>
      </c>
      <c r="F11" s="76">
        <f>'Página17'!F11+F10</f>
        <v>148.7519354</v>
      </c>
      <c r="G11" s="76">
        <f>'Página17'!G11+G10</f>
        <v>133.33</v>
      </c>
    </row>
    <row r="12">
      <c r="A12" s="74">
        <v>2026.0</v>
      </c>
      <c r="B12" s="76">
        <f>'Página17'!B12+B11</f>
        <v>190.4117229</v>
      </c>
      <c r="C12" s="76">
        <f>'Página17'!C12+C11</f>
        <v>161.7286083</v>
      </c>
      <c r="D12" s="76">
        <f>'Página17'!D12+D11</f>
        <v>146.663</v>
      </c>
      <c r="E12" s="76">
        <f>'Página17'!E12+E11</f>
        <v>195.9901231</v>
      </c>
      <c r="F12" s="76">
        <f>'Página17'!F12+F11</f>
        <v>163.9790243</v>
      </c>
      <c r="G12" s="76">
        <f>'Página17'!G12+G11</f>
        <v>146.663</v>
      </c>
    </row>
    <row r="13">
      <c r="A13" s="74">
        <v>2027.0</v>
      </c>
      <c r="B13" s="76">
        <f>'Página17'!B13+B12</f>
        <v>207.1083368</v>
      </c>
      <c r="C13" s="76">
        <f>'Página17'!C13+C12</f>
        <v>176.4249336</v>
      </c>
      <c r="D13" s="76">
        <f>'Página17'!D13+D12</f>
        <v>159.996</v>
      </c>
      <c r="E13" s="76">
        <f>'Página17'!E13+E12</f>
        <v>213.7136858</v>
      </c>
      <c r="F13" s="76">
        <f>'Página17'!F13+F12</f>
        <v>179.4168525</v>
      </c>
      <c r="G13" s="76">
        <f>'Página17'!G13+G12</f>
        <v>159.996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.63"/>
    <col customWidth="1" min="2" max="29" width="7.63"/>
    <col customWidth="1" min="30" max="30" width="8.88"/>
  </cols>
  <sheetData>
    <row r="1">
      <c r="A1" s="1"/>
      <c r="B1" s="2">
        <v>39630.0</v>
      </c>
      <c r="C1" s="2">
        <v>39995.0</v>
      </c>
      <c r="D1" s="2">
        <v>40057.0</v>
      </c>
      <c r="E1" s="2">
        <v>40210.0</v>
      </c>
      <c r="F1" s="2">
        <v>40360.0</v>
      </c>
      <c r="G1" s="2">
        <v>41275.0</v>
      </c>
      <c r="H1" s="2">
        <v>41640.0</v>
      </c>
      <c r="I1" s="2">
        <v>42005.0</v>
      </c>
      <c r="J1" s="2">
        <v>42583.0</v>
      </c>
      <c r="K1" s="2">
        <v>42614.0</v>
      </c>
      <c r="L1" s="2">
        <v>42734.0</v>
      </c>
      <c r="M1" s="2">
        <v>42736.0</v>
      </c>
      <c r="N1" s="2">
        <v>43101.0</v>
      </c>
      <c r="O1" s="2">
        <v>43431.0</v>
      </c>
      <c r="P1" s="2">
        <v>43466.0</v>
      </c>
      <c r="Q1" s="2">
        <v>43831.0</v>
      </c>
      <c r="R1" s="2">
        <v>44197.0</v>
      </c>
      <c r="S1" s="2">
        <v>44562.0</v>
      </c>
      <c r="T1" s="2">
        <v>44958.0</v>
      </c>
      <c r="U1" s="2">
        <v>45017.0</v>
      </c>
      <c r="V1" s="2">
        <v>45047.0</v>
      </c>
      <c r="W1" s="2">
        <v>45323.0</v>
      </c>
      <c r="X1" s="2">
        <v>45505.0</v>
      </c>
      <c r="Y1" s="2">
        <v>45658.0</v>
      </c>
      <c r="Z1" s="2">
        <v>45689.0</v>
      </c>
      <c r="AA1" s="2">
        <v>45778.0</v>
      </c>
      <c r="AB1" s="2">
        <v>46054.0</v>
      </c>
      <c r="AC1" s="2">
        <v>46143.0</v>
      </c>
      <c r="AD1" s="3">
        <v>46419.0</v>
      </c>
    </row>
    <row r="2" ht="81.0" customHeight="1">
      <c r="A2" s="4" t="s">
        <v>0</v>
      </c>
      <c r="B2" s="5">
        <f>24500</f>
        <v>24500</v>
      </c>
      <c r="C2" s="5">
        <f>B2</f>
        <v>24500</v>
      </c>
      <c r="D2" s="5">
        <f>24500*1.05</f>
        <v>25725</v>
      </c>
      <c r="E2" s="5">
        <f>25725*1.0388</f>
        <v>26723.13</v>
      </c>
      <c r="F2" s="5">
        <f>26723.13</f>
        <v>26723.13</v>
      </c>
      <c r="G2" s="5">
        <f>28059.29</f>
        <v>28059.29</v>
      </c>
      <c r="H2" s="5">
        <f>29462.25</f>
        <v>29462.25</v>
      </c>
      <c r="I2" s="5">
        <f>(30935.36+2827.64)</f>
        <v>33763</v>
      </c>
      <c r="J2" s="5">
        <f>33763</f>
        <v>33763</v>
      </c>
      <c r="K2" s="5">
        <f t="shared" ref="K2:N2" si="1">J2</f>
        <v>33763</v>
      </c>
      <c r="L2" s="5">
        <f t="shared" si="1"/>
        <v>33763</v>
      </c>
      <c r="M2" s="5">
        <f t="shared" si="1"/>
        <v>33763</v>
      </c>
      <c r="N2" s="5">
        <f t="shared" si="1"/>
        <v>33763</v>
      </c>
      <c r="O2" s="5">
        <f>(33763*1.1638)-0.06</f>
        <v>39293.3194</v>
      </c>
      <c r="P2" s="5">
        <f>39293.32</f>
        <v>39293.32</v>
      </c>
      <c r="Q2" s="5">
        <f t="shared" ref="Q2:T2" si="2">P2</f>
        <v>39293.32</v>
      </c>
      <c r="R2" s="6">
        <f t="shared" si="2"/>
        <v>39293.32</v>
      </c>
      <c r="S2" s="6">
        <f t="shared" si="2"/>
        <v>39293.32</v>
      </c>
      <c r="T2" s="5">
        <f t="shared" si="2"/>
        <v>39293.32</v>
      </c>
      <c r="U2" s="5">
        <f>(39293.32*1.06)</f>
        <v>41650.9192</v>
      </c>
      <c r="V2" s="5">
        <f>41650.92</f>
        <v>41650.92</v>
      </c>
      <c r="W2" s="5">
        <f>(39293.32*1.12)</f>
        <v>44008.5184</v>
      </c>
      <c r="X2" s="5">
        <f>44008.52</f>
        <v>44008.52</v>
      </c>
      <c r="Y2" s="5">
        <f>X2</f>
        <v>44008.52</v>
      </c>
      <c r="Z2" s="5">
        <f>((44008.52*(1.18/1.12))+0.07)</f>
        <v>46366.18929</v>
      </c>
      <c r="AA2" s="5">
        <f>46366.19</f>
        <v>46366.19</v>
      </c>
      <c r="AB2" s="5">
        <f t="shared" ref="AB2:AC2" si="3">AA2</f>
        <v>46366.19</v>
      </c>
      <c r="AC2" s="5">
        <f t="shared" si="3"/>
        <v>46366.19</v>
      </c>
      <c r="AD2" s="7">
        <f>AC2*(1.035^2)</f>
        <v>49668.62188</v>
      </c>
    </row>
    <row r="3" ht="81.0" customHeight="1">
      <c r="A3" s="4" t="s">
        <v>1</v>
      </c>
      <c r="B3" s="5">
        <f t="shared" ref="B3:B4" si="6">16680</f>
        <v>16680</v>
      </c>
      <c r="C3" s="5">
        <f t="shared" ref="C3:C4" si="7">18260</f>
        <v>18260</v>
      </c>
      <c r="D3" s="5">
        <f t="shared" ref="D3:E3" si="4">C3</f>
        <v>18260</v>
      </c>
      <c r="E3" s="5">
        <f t="shared" si="4"/>
        <v>18260</v>
      </c>
      <c r="F3" s="5">
        <f t="shared" ref="F3:F4" si="9">19451</f>
        <v>19451</v>
      </c>
      <c r="G3" s="5">
        <f t="shared" ref="G3:G4" si="10">20423.55</f>
        <v>20423.55</v>
      </c>
      <c r="H3" s="5">
        <f>21424.3</f>
        <v>21424.3</v>
      </c>
      <c r="I3" s="5">
        <f>22516.94</f>
        <v>22516.94</v>
      </c>
      <c r="J3" s="8">
        <f>(23755.37+3000)</f>
        <v>26755.37</v>
      </c>
      <c r="K3" s="8">
        <f t="shared" ref="K3:L3" si="5">J3</f>
        <v>26755.37</v>
      </c>
      <c r="L3" s="8">
        <f t="shared" si="5"/>
        <v>26755.37</v>
      </c>
      <c r="M3" s="8">
        <f>(24943.14+3662.5)</f>
        <v>28605.64</v>
      </c>
      <c r="N3" s="8">
        <f>(26127.94+6451.99)</f>
        <v>32579.93</v>
      </c>
      <c r="O3" s="8">
        <f>(26127.94+7033.29)</f>
        <v>33161.23</v>
      </c>
      <c r="P3" s="8">
        <f>(27303.7+7216.35)</f>
        <v>34520.05</v>
      </c>
      <c r="Q3" s="8">
        <f>(27303.7+7850)</f>
        <v>35153.7</v>
      </c>
      <c r="R3" s="9">
        <f>(27303.7+9594.2)</f>
        <v>36897.9</v>
      </c>
      <c r="S3" s="6">
        <f>(27303.7+11826.61)</f>
        <v>39130.31</v>
      </c>
      <c r="T3" s="5">
        <f>(27303.7+11989.62)</f>
        <v>39293.32</v>
      </c>
      <c r="U3" s="5">
        <f>(27303.7+14098.83)</f>
        <v>41402.53</v>
      </c>
      <c r="V3" s="5">
        <f>((27303.7*1.09)+(12064.89-175))</f>
        <v>41650.923</v>
      </c>
      <c r="W3" s="5">
        <f>(29761.03+14247.49)</f>
        <v>44008.52</v>
      </c>
      <c r="X3" s="5">
        <v>44008.52</v>
      </c>
      <c r="Y3" s="5">
        <f>((29761.03*1.045)+12908.24)</f>
        <v>44008.51635</v>
      </c>
      <c r="Z3" s="5">
        <f>(31100.28+15265.91)</f>
        <v>46366.19</v>
      </c>
      <c r="AA3" s="5">
        <v>46366.19</v>
      </c>
      <c r="AB3" s="5">
        <f>AA3</f>
        <v>46366.19</v>
      </c>
      <c r="AC3" s="5">
        <f>((31100.28*1.045)+13866.4)</f>
        <v>46366.1926</v>
      </c>
      <c r="AD3" s="7">
        <f>(32499.79+17168.83)</f>
        <v>49668.62</v>
      </c>
    </row>
    <row r="4" ht="81.0" customHeight="1">
      <c r="A4" s="4" t="s">
        <v>2</v>
      </c>
      <c r="B4" s="5">
        <f t="shared" si="6"/>
        <v>16680</v>
      </c>
      <c r="C4" s="5">
        <f t="shared" si="7"/>
        <v>18260</v>
      </c>
      <c r="D4" s="5">
        <f t="shared" ref="D4:E4" si="8">C4</f>
        <v>18260</v>
      </c>
      <c r="E4" s="5">
        <f t="shared" si="8"/>
        <v>18260</v>
      </c>
      <c r="F4" s="5">
        <f t="shared" si="9"/>
        <v>19451</v>
      </c>
      <c r="G4" s="5">
        <f t="shared" si="10"/>
        <v>20423.55</v>
      </c>
      <c r="H4" s="5">
        <f>21403.88</f>
        <v>21403.88</v>
      </c>
      <c r="I4" s="5">
        <f>22516.88</f>
        <v>22516.88</v>
      </c>
      <c r="J4" s="8">
        <f t="shared" ref="J4:J6" si="13">I4</f>
        <v>22516.88</v>
      </c>
      <c r="K4" s="8">
        <f>(22516.88+3000)</f>
        <v>25516.88</v>
      </c>
      <c r="L4" s="8">
        <f>(23755.31+3000)</f>
        <v>26755.31</v>
      </c>
      <c r="M4" s="8">
        <f>(24943.07+3000)</f>
        <v>27943.07</v>
      </c>
      <c r="N4" s="8">
        <f>(26127.87+3000)</f>
        <v>29127.87</v>
      </c>
      <c r="O4" s="8">
        <f t="shared" ref="O4:O7" si="15">N4</f>
        <v>29127.87</v>
      </c>
      <c r="P4" s="8">
        <f>(27303.62+3000)</f>
        <v>30303.62</v>
      </c>
      <c r="Q4" s="8">
        <v>30303.62</v>
      </c>
      <c r="R4" s="10">
        <f t="shared" ref="R4:U4" si="11">Q4</f>
        <v>30303.62</v>
      </c>
      <c r="S4" s="10">
        <f t="shared" si="11"/>
        <v>30303.62</v>
      </c>
      <c r="T4" s="5">
        <f t="shared" si="11"/>
        <v>30303.62</v>
      </c>
      <c r="U4" s="5">
        <f t="shared" si="11"/>
        <v>30303.62</v>
      </c>
      <c r="V4" s="5">
        <f>((27303.62*1.09)+3000)</f>
        <v>32760.9458</v>
      </c>
      <c r="W4" s="5">
        <f>(29760.95+4500)</f>
        <v>34260.95</v>
      </c>
      <c r="X4" s="5">
        <f>(29760.95+5000)</f>
        <v>34760.95</v>
      </c>
      <c r="Y4" s="5">
        <f>((29760.95*1.045)+5000)</f>
        <v>36100.19275</v>
      </c>
      <c r="Z4" s="5">
        <f>(31100.19+7000)</f>
        <v>38100.19</v>
      </c>
      <c r="AA4" s="5">
        <v>38100.19</v>
      </c>
      <c r="AB4" s="5">
        <f>(31100.19+11500)</f>
        <v>42600.19</v>
      </c>
      <c r="AC4" s="5">
        <f>((31100.19*1.045)+11500)</f>
        <v>43999.69855</v>
      </c>
      <c r="AD4" s="7">
        <f>(32499.7+(11500*1.035))</f>
        <v>44402.2</v>
      </c>
    </row>
    <row r="5" ht="81.0" customHeight="1">
      <c r="A5" s="4" t="s">
        <v>3</v>
      </c>
      <c r="B5" s="5">
        <f>19053.57</f>
        <v>19053.57</v>
      </c>
      <c r="C5" s="5">
        <f>19699.82</f>
        <v>19699.82</v>
      </c>
      <c r="D5" s="5">
        <f t="shared" ref="D5:F5" si="12">C5</f>
        <v>19699.82</v>
      </c>
      <c r="E5" s="5">
        <f t="shared" si="12"/>
        <v>19699.82</v>
      </c>
      <c r="F5" s="5">
        <f t="shared" si="12"/>
        <v>19699.82</v>
      </c>
      <c r="G5" s="5">
        <f>20684.81</f>
        <v>20684.81</v>
      </c>
      <c r="H5" s="5">
        <f>21719.05</f>
        <v>21719.05</v>
      </c>
      <c r="I5" s="5">
        <f>22805</f>
        <v>22805</v>
      </c>
      <c r="J5" s="8">
        <f t="shared" si="13"/>
        <v>22805</v>
      </c>
      <c r="K5" s="8">
        <f t="shared" ref="K5:L5" si="14">J5</f>
        <v>22805</v>
      </c>
      <c r="L5" s="8">
        <f t="shared" si="14"/>
        <v>22805</v>
      </c>
      <c r="M5" s="8">
        <f>28262.24</f>
        <v>28262.24</v>
      </c>
      <c r="N5" s="8">
        <f>29604.7</f>
        <v>29604.7</v>
      </c>
      <c r="O5" s="8">
        <f t="shared" si="15"/>
        <v>29604.7</v>
      </c>
      <c r="P5" s="8">
        <f>30936.91</f>
        <v>30936.91</v>
      </c>
      <c r="Q5" s="8">
        <f t="shared" ref="Q5:U5" si="16">P5</f>
        <v>30936.91</v>
      </c>
      <c r="R5" s="11">
        <f t="shared" si="16"/>
        <v>30936.91</v>
      </c>
      <c r="S5" s="11">
        <f t="shared" si="16"/>
        <v>30936.91</v>
      </c>
      <c r="T5" s="5">
        <f t="shared" si="16"/>
        <v>30936.91</v>
      </c>
      <c r="U5" s="5">
        <f t="shared" si="16"/>
        <v>30936.91</v>
      </c>
      <c r="V5" s="5">
        <f>(30936.91*1.09)</f>
        <v>33721.2319</v>
      </c>
      <c r="W5" s="5">
        <f>33721.23</f>
        <v>33721.23</v>
      </c>
      <c r="X5" s="5">
        <f>(33721.23*1.03)</f>
        <v>34732.8669</v>
      </c>
      <c r="Y5" s="5">
        <v>34732.87</v>
      </c>
      <c r="Z5" s="5">
        <f>Y5</f>
        <v>34732.87</v>
      </c>
      <c r="AA5" s="5">
        <f>34732.87*1.05</f>
        <v>36469.5135</v>
      </c>
      <c r="AB5" s="5">
        <v>36469.51</v>
      </c>
      <c r="AC5" s="5">
        <f>((36469.51*1.133823844))</f>
        <v>41350.00002</v>
      </c>
      <c r="AD5" s="7">
        <v>41350.0</v>
      </c>
    </row>
    <row r="6" ht="81.0" customHeight="1">
      <c r="A6" s="4" t="s">
        <v>4</v>
      </c>
      <c r="B6" s="5">
        <f>16680</f>
        <v>16680</v>
      </c>
      <c r="C6" s="5">
        <f>18260</f>
        <v>18260</v>
      </c>
      <c r="D6" s="5">
        <f t="shared" ref="D6:E6" si="17">C6</f>
        <v>18260</v>
      </c>
      <c r="E6" s="5">
        <f t="shared" si="17"/>
        <v>18260</v>
      </c>
      <c r="F6" s="5">
        <f>19451</f>
        <v>19451</v>
      </c>
      <c r="G6" s="5">
        <f>20423.55</f>
        <v>20423.55</v>
      </c>
      <c r="H6" s="5">
        <f>21403.88</f>
        <v>21403.88</v>
      </c>
      <c r="I6" s="5">
        <f>22516.88</f>
        <v>22516.88</v>
      </c>
      <c r="J6" s="8">
        <f t="shared" si="13"/>
        <v>22516.88</v>
      </c>
      <c r="K6" s="8">
        <f>(22516.88+3000)</f>
        <v>25516.88</v>
      </c>
      <c r="L6" s="8">
        <f>(23755.31+3000)</f>
        <v>26755.31</v>
      </c>
      <c r="M6" s="8">
        <f>(24943.07+3000)</f>
        <v>27943.07</v>
      </c>
      <c r="N6" s="8">
        <f>(26127.87+3000)</f>
        <v>29127.87</v>
      </c>
      <c r="O6" s="8">
        <f t="shared" si="15"/>
        <v>29127.87</v>
      </c>
      <c r="P6" s="8">
        <f>(27303.62+3000)</f>
        <v>30303.62</v>
      </c>
      <c r="Q6" s="8">
        <v>30303.62</v>
      </c>
      <c r="R6" s="10">
        <f t="shared" ref="R6:U6" si="18">Q6</f>
        <v>30303.62</v>
      </c>
      <c r="S6" s="10">
        <f t="shared" si="18"/>
        <v>30303.62</v>
      </c>
      <c r="T6" s="5">
        <f t="shared" si="18"/>
        <v>30303.62</v>
      </c>
      <c r="U6" s="5">
        <f t="shared" si="18"/>
        <v>30303.62</v>
      </c>
      <c r="V6" s="5">
        <f>((27303.62*1.09)+3000)</f>
        <v>32760.9458</v>
      </c>
      <c r="W6" s="5">
        <f>(29760.95+3000)</f>
        <v>32760.95</v>
      </c>
      <c r="X6" s="5">
        <v>32760.95</v>
      </c>
      <c r="Y6" s="5">
        <f>((29760.95*1.045)+3000)</f>
        <v>34100.19275</v>
      </c>
      <c r="Z6" s="5">
        <f>(31100.19+3000)</f>
        <v>34100.19</v>
      </c>
      <c r="AA6" s="5">
        <v>34100.19</v>
      </c>
      <c r="AB6" s="5">
        <f>AA6</f>
        <v>34100.19</v>
      </c>
      <c r="AC6" s="5">
        <f>((31100.19*1.045)+3000)</f>
        <v>35499.69855</v>
      </c>
      <c r="AD6" s="7">
        <f>32499.72+3000</f>
        <v>35499.72</v>
      </c>
    </row>
    <row r="7" ht="81.0" customHeight="1">
      <c r="A7" s="4" t="s">
        <v>5</v>
      </c>
      <c r="B7" s="5">
        <v>14511.6</v>
      </c>
      <c r="C7" s="5">
        <v>17347.0</v>
      </c>
      <c r="D7" s="5">
        <f t="shared" ref="D7:E7" si="19">C7</f>
        <v>17347</v>
      </c>
      <c r="E7" s="5">
        <f t="shared" si="19"/>
        <v>17347</v>
      </c>
      <c r="F7" s="5">
        <v>18478.45</v>
      </c>
      <c r="G7" s="5">
        <v>19402.37</v>
      </c>
      <c r="H7" s="5">
        <v>20353.09</v>
      </c>
      <c r="I7" s="5">
        <v>21391.1</v>
      </c>
      <c r="J7" s="5">
        <v>22567.61</v>
      </c>
      <c r="K7" s="5">
        <f t="shared" ref="K7:L7" si="20">J7</f>
        <v>22567.61</v>
      </c>
      <c r="L7" s="5">
        <f t="shared" si="20"/>
        <v>22567.61</v>
      </c>
      <c r="M7" s="5">
        <v>24142.66</v>
      </c>
      <c r="N7" s="5">
        <v>25745.61</v>
      </c>
      <c r="O7" s="5">
        <f t="shared" si="15"/>
        <v>25745.61</v>
      </c>
      <c r="P7" s="5">
        <v>27369.67</v>
      </c>
      <c r="Q7" s="5">
        <f t="shared" ref="Q7:U7" si="21">P7</f>
        <v>27369.67</v>
      </c>
      <c r="R7" s="12">
        <f t="shared" si="21"/>
        <v>27369.67</v>
      </c>
      <c r="S7" s="12">
        <f t="shared" si="21"/>
        <v>27369.67</v>
      </c>
      <c r="T7" s="5">
        <f t="shared" si="21"/>
        <v>27369.67</v>
      </c>
      <c r="U7" s="5">
        <f t="shared" si="21"/>
        <v>27369.67</v>
      </c>
      <c r="V7" s="5">
        <f>27369.67*1.09</f>
        <v>29832.9403</v>
      </c>
      <c r="W7" s="5">
        <f>29832.94</f>
        <v>29832.94</v>
      </c>
      <c r="X7" s="5">
        <f>W7</f>
        <v>29832.94</v>
      </c>
      <c r="Y7" s="5">
        <f>(29832.94*1.109045907)</f>
        <v>33086.1</v>
      </c>
      <c r="Z7" s="5">
        <v>33086.1</v>
      </c>
      <c r="AA7" s="5">
        <f t="shared" ref="AA7:AB7" si="22">Z7</f>
        <v>33086.1</v>
      </c>
      <c r="AB7" s="5">
        <f t="shared" si="22"/>
        <v>33086.1</v>
      </c>
      <c r="AC7" s="5">
        <f>(33086.1*1.109045793)</f>
        <v>36694.00001</v>
      </c>
      <c r="AD7" s="7">
        <v>36694.0</v>
      </c>
    </row>
    <row r="8">
      <c r="A8" s="1"/>
      <c r="B8" s="13" t="s">
        <v>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>
      <c r="A9" s="1"/>
      <c r="B9" s="15" t="s">
        <v>7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</sheetData>
  <conditionalFormatting sqref="B2:B7">
    <cfRule type="colorScale" priority="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Q2:Q7">
    <cfRule type="colorScale" priority="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U2:U7">
    <cfRule type="colorScale" priority="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C2:AC7">
    <cfRule type="colorScale" priority="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C2:C7">
    <cfRule type="colorScale" priority="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D2:D7">
    <cfRule type="colorScale" priority="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G2:G7">
    <cfRule type="colorScale" priority="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H2:H7">
    <cfRule type="colorScale" priority="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N2:N7">
    <cfRule type="colorScale" priority="1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P2:P7">
    <cfRule type="colorScale" priority="1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V2:V7">
    <cfRule type="colorScale" priority="1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W2:W7">
    <cfRule type="colorScale" priority="1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X2:X7">
    <cfRule type="colorScale" priority="1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Z2:Z7">
    <cfRule type="colorScale" priority="1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A2:AA7">
    <cfRule type="colorScale" priority="1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B2:AB7">
    <cfRule type="colorScale" priority="1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D2:AD7">
    <cfRule type="colorScale" priority="2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:E7">
    <cfRule type="colorScale" priority="2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F2:F7">
    <cfRule type="colorScale" priority="2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O2:O7">
    <cfRule type="colorScale" priority="2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M2:M7">
    <cfRule type="colorScale" priority="2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L2:L7">
    <cfRule type="colorScale" priority="2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R2:R7">
    <cfRule type="colorScale" priority="2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S2:S7">
    <cfRule type="colorScale" priority="2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T2:T7">
    <cfRule type="colorScale" priority="2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Y2:Y7">
    <cfRule type="colorScale" priority="2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1">
    <cfRule type="notContainsBlanks" dxfId="0" priority="30">
      <formula>LEN(TRIM(A1))&gt;0</formula>
    </cfRule>
  </conditionalFormatting>
  <hyperlinks>
    <hyperlink r:id="rId2" ref="B9"/>
  </hyperlinks>
  <drawing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2" width="8.38"/>
    <col customWidth="1" min="3" max="3" width="10.0"/>
    <col customWidth="1" min="4" max="4" width="6.38"/>
    <col customWidth="1" min="5" max="5" width="7.88"/>
  </cols>
  <sheetData>
    <row r="1">
      <c r="A1" s="32" t="s">
        <v>97</v>
      </c>
      <c r="B1" s="33" t="s">
        <v>98</v>
      </c>
      <c r="C1" s="33" t="s">
        <v>99</v>
      </c>
      <c r="D1" s="33" t="s">
        <v>100</v>
      </c>
      <c r="E1" s="32" t="s">
        <v>101</v>
      </c>
    </row>
    <row r="2">
      <c r="A2" s="74">
        <v>2016.0</v>
      </c>
      <c r="B2" s="76">
        <f>'Página18'!B2</f>
        <v>14.79241536</v>
      </c>
      <c r="C2" s="76">
        <f>'Página18'!C2</f>
        <v>14.32520589</v>
      </c>
      <c r="D2" s="76">
        <f>'Página18'!D2</f>
        <v>13.333</v>
      </c>
      <c r="E2" s="77" t="s">
        <v>102</v>
      </c>
    </row>
    <row r="3">
      <c r="A3" s="74">
        <v>2017.0</v>
      </c>
      <c r="B3" s="76">
        <f>'Página18'!B3</f>
        <v>30.38787161</v>
      </c>
      <c r="C3" s="76">
        <f>'Página18'!C3</f>
        <v>29.59133901</v>
      </c>
      <c r="D3" s="76">
        <f>'Página18'!D3</f>
        <v>26.666</v>
      </c>
      <c r="E3" s="77" t="str">
        <f t="shared" ref="E3:E13" si="1">E2</f>
        <v>bruto</v>
      </c>
    </row>
    <row r="4">
      <c r="A4" s="74">
        <v>2018.0</v>
      </c>
      <c r="B4" s="76">
        <f>'Página18'!B4</f>
        <v>46.97346984</v>
      </c>
      <c r="C4" s="76">
        <f>'Página18'!C4</f>
        <v>44.52056382</v>
      </c>
      <c r="D4" s="76">
        <f>'Página18'!D4</f>
        <v>39.999</v>
      </c>
      <c r="E4" s="77" t="str">
        <f t="shared" si="1"/>
        <v>bruto</v>
      </c>
    </row>
    <row r="5">
      <c r="A5" s="74">
        <v>2019.0</v>
      </c>
      <c r="B5" s="76">
        <f>'Página18'!B5</f>
        <v>63.43820211</v>
      </c>
      <c r="C5" s="76">
        <f>'Página18'!C5</f>
        <v>59.13667993</v>
      </c>
      <c r="D5" s="76">
        <f>'Página18'!D5</f>
        <v>53.332</v>
      </c>
      <c r="E5" s="77" t="str">
        <f t="shared" si="1"/>
        <v>bruto</v>
      </c>
    </row>
    <row r="6">
      <c r="A6" s="74">
        <v>2020.0</v>
      </c>
      <c r="B6" s="76">
        <f>'Página18'!B6</f>
        <v>80.28907953</v>
      </c>
      <c r="C6" s="76">
        <f>'Página18'!C6</f>
        <v>73.75279603</v>
      </c>
      <c r="D6" s="76">
        <f>'Página18'!D6</f>
        <v>66.665</v>
      </c>
      <c r="E6" s="77" t="str">
        <f t="shared" si="1"/>
        <v>bruto</v>
      </c>
    </row>
    <row r="7">
      <c r="A7" s="74">
        <v>2021.0</v>
      </c>
      <c r="B7" s="76">
        <f>'Página18'!B7</f>
        <v>97.79633419</v>
      </c>
      <c r="C7" s="76">
        <f>'Página18'!C7</f>
        <v>88.36891214</v>
      </c>
      <c r="D7" s="76">
        <f>'Página18'!D7</f>
        <v>79.998</v>
      </c>
      <c r="E7" s="77" t="str">
        <f t="shared" si="1"/>
        <v>bruto</v>
      </c>
    </row>
    <row r="8">
      <c r="A8" s="74">
        <v>2022.0</v>
      </c>
      <c r="B8" s="76">
        <f>'Página18'!B8</f>
        <v>116.7144416</v>
      </c>
      <c r="C8" s="76">
        <f>'Página18'!C8</f>
        <v>102.9850282</v>
      </c>
      <c r="D8" s="76">
        <f>'Página18'!D8</f>
        <v>93.331</v>
      </c>
      <c r="E8" s="77" t="str">
        <f t="shared" si="1"/>
        <v>bruto</v>
      </c>
    </row>
    <row r="9">
      <c r="A9" s="74">
        <v>2023.0</v>
      </c>
      <c r="B9" s="76">
        <f>'Página18'!B9</f>
        <v>135.4254676</v>
      </c>
      <c r="C9" s="76">
        <f>'Página18'!C9</f>
        <v>117.5251251</v>
      </c>
      <c r="D9" s="76">
        <f>'Página18'!D9</f>
        <v>106.664</v>
      </c>
      <c r="E9" s="77" t="str">
        <f t="shared" si="1"/>
        <v>bruto</v>
      </c>
    </row>
    <row r="10">
      <c r="A10" s="74">
        <v>2024.0</v>
      </c>
      <c r="B10" s="76">
        <f>'Página18'!B10</f>
        <v>154.85761</v>
      </c>
      <c r="C10" s="76">
        <f>'Página18'!C10</f>
        <v>132.6862611</v>
      </c>
      <c r="D10" s="76">
        <f>'Página18'!D10</f>
        <v>119.997</v>
      </c>
      <c r="E10" s="77" t="str">
        <f t="shared" si="1"/>
        <v>bruto</v>
      </c>
    </row>
    <row r="11">
      <c r="A11" s="74">
        <v>2025.0</v>
      </c>
      <c r="B11" s="76">
        <f>'Página18'!B11</f>
        <v>173.3054423</v>
      </c>
      <c r="C11" s="76">
        <f>'Página18'!C11</f>
        <v>147.16366</v>
      </c>
      <c r="D11" s="76">
        <f>'Página18'!D11</f>
        <v>133.33</v>
      </c>
      <c r="E11" s="77" t="str">
        <f t="shared" si="1"/>
        <v>bruto</v>
      </c>
    </row>
    <row r="12">
      <c r="A12" s="74">
        <v>2026.0</v>
      </c>
      <c r="B12" s="76">
        <f>'Página18'!B12</f>
        <v>190.4117229</v>
      </c>
      <c r="C12" s="76">
        <f>'Página18'!C12</f>
        <v>161.7286083</v>
      </c>
      <c r="D12" s="76">
        <f>'Página18'!D12</f>
        <v>146.663</v>
      </c>
      <c r="E12" s="77" t="str">
        <f t="shared" si="1"/>
        <v>bruto</v>
      </c>
    </row>
    <row r="13">
      <c r="A13" s="74">
        <v>2027.0</v>
      </c>
      <c r="B13" s="76">
        <f>'Página18'!B13</f>
        <v>207.1083368</v>
      </c>
      <c r="C13" s="76">
        <f>'Página18'!C13</f>
        <v>176.4249336</v>
      </c>
      <c r="D13" s="76">
        <f>'Página18'!D13</f>
        <v>159.996</v>
      </c>
      <c r="E13" s="77" t="str">
        <f t="shared" si="1"/>
        <v>bruto</v>
      </c>
    </row>
    <row r="14">
      <c r="A14" s="74">
        <f t="shared" ref="A14:A25" si="2">A2</f>
        <v>2016</v>
      </c>
      <c r="B14" s="76">
        <f>'Página18'!E2</f>
        <v>14.79749312</v>
      </c>
      <c r="C14" s="76">
        <f>'Página18'!F2</f>
        <v>14.34264797</v>
      </c>
      <c r="D14" s="76">
        <f>'Página18'!G2</f>
        <v>13.333</v>
      </c>
      <c r="E14" s="78" t="s">
        <v>103</v>
      </c>
    </row>
    <row r="15">
      <c r="A15" s="74">
        <f t="shared" si="2"/>
        <v>2017</v>
      </c>
      <c r="B15" s="76">
        <f>'Página18'!E3</f>
        <v>30.48645727</v>
      </c>
      <c r="C15" s="76">
        <f>'Página18'!F3</f>
        <v>29.68115047</v>
      </c>
      <c r="D15" s="76">
        <f>'Página18'!G3</f>
        <v>26.666</v>
      </c>
      <c r="E15" s="78" t="str">
        <f t="shared" ref="E15:E25" si="3">E14</f>
        <v>líquido</v>
      </c>
    </row>
    <row r="16">
      <c r="A16" s="74">
        <f t="shared" si="2"/>
        <v>2018</v>
      </c>
      <c r="B16" s="76">
        <f>'Página18'!E4</f>
        <v>47.2690688</v>
      </c>
      <c r="C16" s="76">
        <f>'Página18'!F4</f>
        <v>44.69521965</v>
      </c>
      <c r="D16" s="76">
        <f>'Página18'!G4</f>
        <v>39.999</v>
      </c>
      <c r="E16" s="78" t="str">
        <f t="shared" si="3"/>
        <v>líquido</v>
      </c>
    </row>
    <row r="17">
      <c r="A17" s="74">
        <f t="shared" si="2"/>
        <v>2019</v>
      </c>
      <c r="B17" s="76">
        <f>'Página18'!E5</f>
        <v>63.95955826</v>
      </c>
      <c r="C17" s="76">
        <f>'Página18'!F5</f>
        <v>59.40606951</v>
      </c>
      <c r="D17" s="76">
        <f>'Página18'!G5</f>
        <v>53.332</v>
      </c>
      <c r="E17" s="78" t="str">
        <f t="shared" si="3"/>
        <v>líquido</v>
      </c>
    </row>
    <row r="18">
      <c r="A18" s="74">
        <f t="shared" si="2"/>
        <v>2020</v>
      </c>
      <c r="B18" s="76">
        <f>'Página18'!E6</f>
        <v>81.23687129</v>
      </c>
      <c r="C18" s="76">
        <f>'Página18'!F6</f>
        <v>74.18147339</v>
      </c>
      <c r="D18" s="76">
        <f>'Página18'!G6</f>
        <v>66.665</v>
      </c>
      <c r="E18" s="78" t="str">
        <f t="shared" si="3"/>
        <v>líquido</v>
      </c>
    </row>
    <row r="19">
      <c r="A19" s="74">
        <f t="shared" si="2"/>
        <v>2021</v>
      </c>
      <c r="B19" s="76">
        <f>'Página18'!E7</f>
        <v>99.27431167</v>
      </c>
      <c r="C19" s="76">
        <f>'Página18'!F7</f>
        <v>88.96533089</v>
      </c>
      <c r="D19" s="76">
        <f>'Página18'!G7</f>
        <v>79.998</v>
      </c>
      <c r="E19" s="78" t="str">
        <f t="shared" si="3"/>
        <v>líquido</v>
      </c>
    </row>
    <row r="20">
      <c r="A20" s="74">
        <f t="shared" si="2"/>
        <v>2022</v>
      </c>
      <c r="B20" s="76">
        <f>'Página18'!E8</f>
        <v>118.874559</v>
      </c>
      <c r="C20" s="76">
        <f>'Página18'!F8</f>
        <v>103.7434408</v>
      </c>
      <c r="D20" s="76">
        <f>'Página18'!G8</f>
        <v>93.331</v>
      </c>
      <c r="E20" s="78" t="str">
        <f t="shared" si="3"/>
        <v>líquido</v>
      </c>
    </row>
    <row r="21">
      <c r="A21" s="74">
        <f t="shared" si="2"/>
        <v>2023</v>
      </c>
      <c r="B21" s="76">
        <f>'Página18'!E9</f>
        <v>138.2556282</v>
      </c>
      <c r="C21" s="76">
        <f>'Página18'!F9</f>
        <v>118.4393617</v>
      </c>
      <c r="D21" s="76">
        <f>'Página18'!G9</f>
        <v>106.664</v>
      </c>
      <c r="E21" s="78" t="str">
        <f t="shared" si="3"/>
        <v>líquido</v>
      </c>
    </row>
    <row r="22">
      <c r="A22" s="74">
        <f t="shared" si="2"/>
        <v>2024</v>
      </c>
      <c r="B22" s="76">
        <f>'Página18'!E10</f>
        <v>158.448007</v>
      </c>
      <c r="C22" s="76">
        <f>'Página18'!F10</f>
        <v>133.8331637</v>
      </c>
      <c r="D22" s="76">
        <f>'Página18'!G10</f>
        <v>119.997</v>
      </c>
      <c r="E22" s="78" t="str">
        <f t="shared" si="3"/>
        <v>líquido</v>
      </c>
    </row>
    <row r="23">
      <c r="A23" s="74">
        <f t="shared" si="2"/>
        <v>2025</v>
      </c>
      <c r="B23" s="76">
        <f>'Página18'!E11</f>
        <v>177.8672932</v>
      </c>
      <c r="C23" s="76">
        <f>'Página18'!F11</f>
        <v>148.7519354</v>
      </c>
      <c r="D23" s="76">
        <f>'Página18'!G11</f>
        <v>133.33</v>
      </c>
      <c r="E23" s="78" t="str">
        <f t="shared" si="3"/>
        <v>líquido</v>
      </c>
    </row>
    <row r="24">
      <c r="A24" s="74">
        <f t="shared" si="2"/>
        <v>2026</v>
      </c>
      <c r="B24" s="76">
        <f>'Página18'!E12</f>
        <v>195.9901231</v>
      </c>
      <c r="C24" s="76">
        <f>'Página18'!F12</f>
        <v>163.9790243</v>
      </c>
      <c r="D24" s="76">
        <f>'Página18'!G12</f>
        <v>146.663</v>
      </c>
      <c r="E24" s="78" t="str">
        <f t="shared" si="3"/>
        <v>líquido</v>
      </c>
    </row>
    <row r="25">
      <c r="A25" s="74">
        <f t="shared" si="2"/>
        <v>2027</v>
      </c>
      <c r="B25" s="76">
        <f>'Página18'!E13</f>
        <v>213.7136858</v>
      </c>
      <c r="C25" s="76">
        <f>'Página18'!F13</f>
        <v>179.4168525</v>
      </c>
      <c r="D25" s="76">
        <f>'Página18'!G13</f>
        <v>159.996</v>
      </c>
      <c r="E25" s="78" t="str">
        <f t="shared" si="3"/>
        <v>líquido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9.63"/>
    <col customWidth="1" min="3" max="3" width="10.0"/>
    <col customWidth="1" min="4" max="4" width="9.63"/>
    <col customWidth="1" min="5" max="5" width="7.88"/>
  </cols>
  <sheetData>
    <row r="1">
      <c r="A1" s="32" t="s">
        <v>97</v>
      </c>
      <c r="B1" s="33" t="s">
        <v>104</v>
      </c>
      <c r="C1" s="33" t="s">
        <v>105</v>
      </c>
      <c r="D1" s="33" t="s">
        <v>106</v>
      </c>
      <c r="E1" s="32" t="s">
        <v>101</v>
      </c>
    </row>
    <row r="2">
      <c r="A2" s="74">
        <v>2016.0</v>
      </c>
      <c r="B2" s="75">
        <f>'Página17'!D2</f>
        <v>13.333</v>
      </c>
      <c r="C2" s="75">
        <f>'Página17'!C2</f>
        <v>14.32520589</v>
      </c>
      <c r="D2" s="75">
        <f>'Página17'!B2</f>
        <v>14.79241536</v>
      </c>
      <c r="E2" s="77" t="s">
        <v>102</v>
      </c>
    </row>
    <row r="3">
      <c r="A3" s="74">
        <v>2017.0</v>
      </c>
      <c r="B3" s="75">
        <f>'Página17'!D3</f>
        <v>13.333</v>
      </c>
      <c r="C3" s="75">
        <f>'Página17'!C3</f>
        <v>15.26613311</v>
      </c>
      <c r="D3" s="75">
        <f>'Página17'!B3</f>
        <v>15.59545625</v>
      </c>
      <c r="E3" s="77" t="str">
        <f t="shared" ref="E3:E13" si="1">E2</f>
        <v>bruto</v>
      </c>
    </row>
    <row r="4">
      <c r="A4" s="74">
        <v>2018.0</v>
      </c>
      <c r="B4" s="75">
        <f>'Página17'!D4</f>
        <v>13.333</v>
      </c>
      <c r="C4" s="75">
        <f>'Página17'!C4</f>
        <v>14.92922482</v>
      </c>
      <c r="D4" s="75">
        <f>'Página17'!B4</f>
        <v>16.58559823</v>
      </c>
      <c r="E4" s="77" t="str">
        <f t="shared" si="1"/>
        <v>bruto</v>
      </c>
    </row>
    <row r="5">
      <c r="A5" s="74">
        <v>2019.0</v>
      </c>
      <c r="B5" s="75">
        <f>'Página17'!D5</f>
        <v>13.333</v>
      </c>
      <c r="C5" s="75">
        <f>'Página17'!C5</f>
        <v>14.6161161</v>
      </c>
      <c r="D5" s="75">
        <f>'Página17'!B5</f>
        <v>16.46473227</v>
      </c>
      <c r="E5" s="77" t="str">
        <f t="shared" si="1"/>
        <v>bruto</v>
      </c>
    </row>
    <row r="6">
      <c r="A6" s="74">
        <v>2020.0</v>
      </c>
      <c r="B6" s="75">
        <f>'Página17'!D6</f>
        <v>13.333</v>
      </c>
      <c r="C6" s="75">
        <f>'Página17'!C6</f>
        <v>14.6161161</v>
      </c>
      <c r="D6" s="75">
        <f>'Página17'!B6</f>
        <v>16.85087742</v>
      </c>
      <c r="E6" s="77" t="str">
        <f t="shared" si="1"/>
        <v>bruto</v>
      </c>
    </row>
    <row r="7">
      <c r="A7" s="74">
        <v>2021.0</v>
      </c>
      <c r="B7" s="75">
        <f>'Página17'!D7</f>
        <v>13.333</v>
      </c>
      <c r="C7" s="75">
        <f>'Página17'!C7</f>
        <v>14.6161161</v>
      </c>
      <c r="D7" s="75">
        <f>'Página17'!B7</f>
        <v>17.50725466</v>
      </c>
      <c r="E7" s="77" t="str">
        <f t="shared" si="1"/>
        <v>bruto</v>
      </c>
    </row>
    <row r="8">
      <c r="A8" s="74">
        <v>2022.0</v>
      </c>
      <c r="B8" s="75">
        <f>'Página17'!D8</f>
        <v>13.333</v>
      </c>
      <c r="C8" s="75">
        <f>'Página17'!C8</f>
        <v>14.6161161</v>
      </c>
      <c r="D8" s="75">
        <f>'Página17'!B8</f>
        <v>18.91810741</v>
      </c>
      <c r="E8" s="77" t="str">
        <f t="shared" si="1"/>
        <v>bruto</v>
      </c>
    </row>
    <row r="9">
      <c r="A9" s="74">
        <v>2023.0</v>
      </c>
      <c r="B9" s="75">
        <f>'Página17'!D9</f>
        <v>13.333</v>
      </c>
      <c r="C9" s="75">
        <f>'Página17'!C9</f>
        <v>14.54009687</v>
      </c>
      <c r="D9" s="75">
        <f>'Página17'!B9</f>
        <v>18.71102604</v>
      </c>
      <c r="E9" s="77" t="str">
        <f t="shared" si="1"/>
        <v>bruto</v>
      </c>
    </row>
    <row r="10">
      <c r="A10" s="74">
        <v>2024.0</v>
      </c>
      <c r="B10" s="75">
        <f>'Página17'!D10</f>
        <v>13.333</v>
      </c>
      <c r="C10" s="75">
        <f>'Página17'!C10</f>
        <v>15.16113599</v>
      </c>
      <c r="D10" s="75">
        <f>'Página17'!B10</f>
        <v>19.4321424</v>
      </c>
      <c r="E10" s="77" t="str">
        <f t="shared" si="1"/>
        <v>bruto</v>
      </c>
    </row>
    <row r="11">
      <c r="A11" s="74">
        <v>2025.0</v>
      </c>
      <c r="B11" s="75">
        <f>'Página17'!D11</f>
        <v>13.333</v>
      </c>
      <c r="C11" s="75">
        <f>'Página17'!C11</f>
        <v>14.47739887</v>
      </c>
      <c r="D11" s="75">
        <f>'Página17'!B11</f>
        <v>18.44783222</v>
      </c>
      <c r="E11" s="77" t="str">
        <f t="shared" si="1"/>
        <v>bruto</v>
      </c>
    </row>
    <row r="12">
      <c r="A12" s="74">
        <v>2026.0</v>
      </c>
      <c r="B12" s="75">
        <f>'Página17'!D12</f>
        <v>13.333</v>
      </c>
      <c r="C12" s="75">
        <f>'Página17'!C12</f>
        <v>14.5649483</v>
      </c>
      <c r="D12" s="75">
        <f>'Página17'!B12</f>
        <v>17.10628062</v>
      </c>
      <c r="E12" s="77" t="str">
        <f t="shared" si="1"/>
        <v>bruto</v>
      </c>
    </row>
    <row r="13">
      <c r="A13" s="74">
        <v>2027.0</v>
      </c>
      <c r="B13" s="75">
        <f>'Página17'!D13</f>
        <v>13.333</v>
      </c>
      <c r="C13" s="75">
        <f>'Página17'!C13</f>
        <v>14.69632532</v>
      </c>
      <c r="D13" s="75">
        <f>'Página17'!B13</f>
        <v>16.6966139</v>
      </c>
      <c r="E13" s="77" t="str">
        <f t="shared" si="1"/>
        <v>bruto</v>
      </c>
    </row>
    <row r="14">
      <c r="A14" s="74">
        <f t="shared" ref="A14:A25" si="2">A2</f>
        <v>2016</v>
      </c>
      <c r="B14" s="75">
        <f>'Página17'!G2</f>
        <v>13.333</v>
      </c>
      <c r="C14" s="75">
        <f>'Página17'!F2</f>
        <v>14.34264797</v>
      </c>
      <c r="D14" s="75">
        <f>'Página17'!E2</f>
        <v>14.79749312</v>
      </c>
      <c r="E14" s="78" t="s">
        <v>103</v>
      </c>
    </row>
    <row r="15">
      <c r="A15" s="74">
        <f t="shared" si="2"/>
        <v>2017</v>
      </c>
      <c r="B15" s="75">
        <f>'Página17'!G3</f>
        <v>13.333</v>
      </c>
      <c r="C15" s="75">
        <f>'Página17'!F3</f>
        <v>15.33850251</v>
      </c>
      <c r="D15" s="75">
        <f>'Página17'!E3</f>
        <v>15.68896414</v>
      </c>
      <c r="E15" s="78" t="str">
        <f t="shared" ref="E15:E25" si="3">E14</f>
        <v>líquido</v>
      </c>
    </row>
    <row r="16">
      <c r="A16" s="74">
        <f t="shared" si="2"/>
        <v>2018</v>
      </c>
      <c r="B16" s="75">
        <f>'Página17'!G4</f>
        <v>13.333</v>
      </c>
      <c r="C16" s="75">
        <f>'Página17'!F4</f>
        <v>15.01406918</v>
      </c>
      <c r="D16" s="75">
        <f>'Página17'!E4</f>
        <v>16.78261153</v>
      </c>
      <c r="E16" s="78" t="str">
        <f t="shared" si="3"/>
        <v>líquido</v>
      </c>
    </row>
    <row r="17">
      <c r="A17" s="74">
        <f t="shared" si="2"/>
        <v>2019</v>
      </c>
      <c r="B17" s="75">
        <f>'Página17'!G5</f>
        <v>13.333</v>
      </c>
      <c r="C17" s="75">
        <f>'Página17'!F5</f>
        <v>14.71084986</v>
      </c>
      <c r="D17" s="75">
        <f>'Página17'!E5</f>
        <v>16.69048947</v>
      </c>
      <c r="E17" s="78" t="str">
        <f t="shared" si="3"/>
        <v>líquido</v>
      </c>
    </row>
    <row r="18">
      <c r="A18" s="74">
        <f t="shared" si="2"/>
        <v>2020</v>
      </c>
      <c r="B18" s="75">
        <f>'Página17'!G6</f>
        <v>13.333</v>
      </c>
      <c r="C18" s="75">
        <f>'Página17'!F6</f>
        <v>14.77540388</v>
      </c>
      <c r="D18" s="75">
        <f>'Página17'!E6</f>
        <v>17.27731303</v>
      </c>
      <c r="E18" s="78" t="str">
        <f t="shared" si="3"/>
        <v>líquido</v>
      </c>
    </row>
    <row r="19">
      <c r="A19" s="74">
        <f t="shared" si="2"/>
        <v>2021</v>
      </c>
      <c r="B19" s="75">
        <f>'Página17'!G7</f>
        <v>13.333</v>
      </c>
      <c r="C19" s="75">
        <f>'Página17'!F7</f>
        <v>14.7838575</v>
      </c>
      <c r="D19" s="75">
        <f>'Página17'!E7</f>
        <v>18.03744038</v>
      </c>
      <c r="E19" s="78" t="str">
        <f t="shared" si="3"/>
        <v>líquido</v>
      </c>
    </row>
    <row r="20">
      <c r="A20" s="74">
        <f t="shared" si="2"/>
        <v>2022</v>
      </c>
      <c r="B20" s="75">
        <f>'Página17'!G8</f>
        <v>13.333</v>
      </c>
      <c r="C20" s="75">
        <f>'Página17'!F8</f>
        <v>14.7781099</v>
      </c>
      <c r="D20" s="75">
        <f>'Página17'!E8</f>
        <v>19.60024734</v>
      </c>
      <c r="E20" s="78" t="str">
        <f t="shared" si="3"/>
        <v>líquido</v>
      </c>
    </row>
    <row r="21">
      <c r="A21" s="74">
        <f t="shared" si="2"/>
        <v>2023</v>
      </c>
      <c r="B21" s="75">
        <f>'Página17'!G9</f>
        <v>13.333</v>
      </c>
      <c r="C21" s="75">
        <f>'Página17'!F9</f>
        <v>14.69592092</v>
      </c>
      <c r="D21" s="75">
        <f>'Página17'!E9</f>
        <v>19.38106922</v>
      </c>
      <c r="E21" s="78" t="str">
        <f t="shared" si="3"/>
        <v>líquido</v>
      </c>
    </row>
    <row r="22">
      <c r="A22" s="74">
        <f t="shared" si="2"/>
        <v>2024</v>
      </c>
      <c r="B22" s="75">
        <f>'Página17'!G10</f>
        <v>13.333</v>
      </c>
      <c r="C22" s="75">
        <f>'Página17'!F10</f>
        <v>15.39380202</v>
      </c>
      <c r="D22" s="75">
        <f>'Página17'!E10</f>
        <v>20.19237881</v>
      </c>
      <c r="E22" s="78" t="str">
        <f t="shared" si="3"/>
        <v>líquido</v>
      </c>
    </row>
    <row r="23">
      <c r="A23" s="74">
        <f t="shared" si="2"/>
        <v>2025</v>
      </c>
      <c r="B23" s="75">
        <f>'Página17'!G11</f>
        <v>13.333</v>
      </c>
      <c r="C23" s="75">
        <f>'Página17'!F11</f>
        <v>14.91877163</v>
      </c>
      <c r="D23" s="75">
        <f>'Página17'!E11</f>
        <v>19.41928616</v>
      </c>
      <c r="E23" s="78" t="str">
        <f t="shared" si="3"/>
        <v>líquido</v>
      </c>
    </row>
    <row r="24">
      <c r="A24" s="74">
        <f t="shared" si="2"/>
        <v>2026</v>
      </c>
      <c r="B24" s="75">
        <f>'Página17'!G12</f>
        <v>13.333</v>
      </c>
      <c r="C24" s="75">
        <f>'Página17'!F12</f>
        <v>15.22708897</v>
      </c>
      <c r="D24" s="75">
        <f>'Página17'!E12</f>
        <v>18.1228299</v>
      </c>
      <c r="E24" s="78" t="str">
        <f t="shared" si="3"/>
        <v>líquido</v>
      </c>
    </row>
    <row r="25">
      <c r="A25" s="74">
        <f t="shared" si="2"/>
        <v>2027</v>
      </c>
      <c r="B25" s="75">
        <f>'Página17'!G13</f>
        <v>13.333</v>
      </c>
      <c r="C25" s="75">
        <f>'Página17'!F13</f>
        <v>15.43782821</v>
      </c>
      <c r="D25" s="75">
        <f>'Página17'!E13</f>
        <v>17.72356271</v>
      </c>
      <c r="E25" s="78" t="str">
        <f t="shared" si="3"/>
        <v>líquido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5.63"/>
    <col customWidth="1" min="3" max="14" width="6.13"/>
    <col customWidth="1" min="15" max="18" width="9.38"/>
  </cols>
  <sheetData>
    <row r="1">
      <c r="A1" s="79" t="s">
        <v>107</v>
      </c>
      <c r="B1" s="79" t="s">
        <v>101</v>
      </c>
      <c r="C1" s="80">
        <v>2016.0</v>
      </c>
      <c r="D1" s="79">
        <f t="shared" ref="D1:N1" si="1">C1+1</f>
        <v>2017</v>
      </c>
      <c r="E1" s="79">
        <f t="shared" si="1"/>
        <v>2018</v>
      </c>
      <c r="F1" s="79">
        <f t="shared" si="1"/>
        <v>2019</v>
      </c>
      <c r="G1" s="79">
        <f t="shared" si="1"/>
        <v>2020</v>
      </c>
      <c r="H1" s="79">
        <f t="shared" si="1"/>
        <v>2021</v>
      </c>
      <c r="I1" s="79">
        <f t="shared" si="1"/>
        <v>2022</v>
      </c>
      <c r="J1" s="79">
        <f t="shared" si="1"/>
        <v>2023</v>
      </c>
      <c r="K1" s="79">
        <f t="shared" si="1"/>
        <v>2024</v>
      </c>
      <c r="L1" s="79">
        <f t="shared" si="1"/>
        <v>2025</v>
      </c>
      <c r="M1" s="79">
        <f t="shared" si="1"/>
        <v>2026</v>
      </c>
      <c r="N1" s="79">
        <f t="shared" si="1"/>
        <v>2027</v>
      </c>
      <c r="O1" s="80" t="s">
        <v>108</v>
      </c>
      <c r="P1" s="80" t="s">
        <v>109</v>
      </c>
      <c r="Q1" s="81" t="s">
        <v>110</v>
      </c>
      <c r="R1" s="81" t="s">
        <v>111</v>
      </c>
    </row>
    <row r="2">
      <c r="A2" s="80" t="s">
        <v>104</v>
      </c>
      <c r="B2" s="80" t="s">
        <v>112</v>
      </c>
      <c r="C2" s="82">
        <f>HLOOKUP($A2,'Página20'!$A:$E,C$1-2016+2,FALSE)</f>
        <v>13.333</v>
      </c>
      <c r="D2" s="82">
        <f>HLOOKUP($A2,'Página20'!$A:$E,D$1-2016+2,FALSE)</f>
        <v>13.333</v>
      </c>
      <c r="E2" s="82">
        <f>HLOOKUP($A2,'Página20'!$A:$E,E$1-2016+2,FALSE)</f>
        <v>13.333</v>
      </c>
      <c r="F2" s="82">
        <f>HLOOKUP($A2,'Página20'!$A:$E,F$1-2016+2,FALSE)</f>
        <v>13.333</v>
      </c>
      <c r="G2" s="82">
        <f>HLOOKUP($A2,'Página20'!$A:$E,G$1-2016+2,FALSE)</f>
        <v>13.333</v>
      </c>
      <c r="H2" s="82">
        <f>HLOOKUP($A2,'Página20'!$A:$E,H$1-2016+2,FALSE)</f>
        <v>13.333</v>
      </c>
      <c r="I2" s="82">
        <f>HLOOKUP($A2,'Página20'!$A:$E,I$1-2016+2,FALSE)</f>
        <v>13.333</v>
      </c>
      <c r="J2" s="82">
        <f>HLOOKUP($A2,'Página20'!$A:$E,J$1-2016+2,FALSE)</f>
        <v>13.333</v>
      </c>
      <c r="K2" s="82">
        <f>HLOOKUP($A2,'Página20'!$A:$E,K$1-2016+2,FALSE)</f>
        <v>13.333</v>
      </c>
      <c r="L2" s="82">
        <f>HLOOKUP($A2,'Página20'!$A:$E,L$1-2016+2,FALSE)</f>
        <v>13.333</v>
      </c>
      <c r="M2" s="82">
        <f>HLOOKUP($A2,'Página20'!$A:$E,M$1-2016+2,FALSE)</f>
        <v>13.333</v>
      </c>
      <c r="N2" s="82">
        <f>HLOOKUP($A2,'Página20'!$A:$E,N$1-2016+2,FALSE)</f>
        <v>13.333</v>
      </c>
      <c r="O2" s="82">
        <f t="shared" ref="O2:O13" si="2">SUM(C2:F2)</f>
        <v>53.332</v>
      </c>
      <c r="P2" s="82">
        <f t="shared" ref="P2:P13" si="3">SUM(G2:J2)</f>
        <v>53.332</v>
      </c>
      <c r="Q2" s="58">
        <f t="shared" ref="Q2:Q13" si="4">SUM(K2:N2)</f>
        <v>53.332</v>
      </c>
      <c r="R2" s="58">
        <f t="shared" ref="R2:R13" si="5">SUM(O2:Q2)</f>
        <v>159.996</v>
      </c>
    </row>
    <row r="3">
      <c r="A3" s="80" t="s">
        <v>105</v>
      </c>
      <c r="B3" s="79" t="str">
        <f t="shared" ref="B3:B4" si="6">B2</f>
        <v>acumulado (bruto)</v>
      </c>
      <c r="C3" s="82">
        <f>HLOOKUP($A3,'Página20'!$A:$E,C$1-2016+2,FALSE)</f>
        <v>14.32520589</v>
      </c>
      <c r="D3" s="82">
        <f>HLOOKUP($A3,'Página20'!$A:$E,D$1-2016+2,FALSE)</f>
        <v>15.26613311</v>
      </c>
      <c r="E3" s="82">
        <f>HLOOKUP($A3,'Página20'!$A:$E,E$1-2016+2,FALSE)</f>
        <v>14.92922482</v>
      </c>
      <c r="F3" s="82">
        <f>HLOOKUP($A3,'Página20'!$A:$E,F$1-2016+2,FALSE)</f>
        <v>14.6161161</v>
      </c>
      <c r="G3" s="82">
        <f>HLOOKUP($A3,'Página20'!$A:$E,G$1-2016+2,FALSE)</f>
        <v>14.6161161</v>
      </c>
      <c r="H3" s="82">
        <f>HLOOKUP($A3,'Página20'!$A:$E,H$1-2016+2,FALSE)</f>
        <v>14.6161161</v>
      </c>
      <c r="I3" s="82">
        <f>HLOOKUP($A3,'Página20'!$A:$E,I$1-2016+2,FALSE)</f>
        <v>14.6161161</v>
      </c>
      <c r="J3" s="82">
        <f>HLOOKUP($A3,'Página20'!$A:$E,J$1-2016+2,FALSE)</f>
        <v>14.54009687</v>
      </c>
      <c r="K3" s="82">
        <f>HLOOKUP($A3,'Página20'!$A:$E,K$1-2016+2,FALSE)</f>
        <v>15.16113599</v>
      </c>
      <c r="L3" s="82">
        <f>HLOOKUP($A3,'Página20'!$A:$E,L$1-2016+2,FALSE)</f>
        <v>14.47739887</v>
      </c>
      <c r="M3" s="82">
        <f>HLOOKUP($A3,'Página20'!$A:$E,M$1-2016+2,FALSE)</f>
        <v>14.5649483</v>
      </c>
      <c r="N3" s="82">
        <f>HLOOKUP($A3,'Página20'!$A:$E,N$1-2016+2,FALSE)</f>
        <v>14.69632532</v>
      </c>
      <c r="O3" s="82">
        <f t="shared" si="2"/>
        <v>59.13667993</v>
      </c>
      <c r="P3" s="82">
        <f t="shared" si="3"/>
        <v>58.38844518</v>
      </c>
      <c r="Q3" s="58">
        <f t="shared" si="4"/>
        <v>58.89980848</v>
      </c>
      <c r="R3" s="58">
        <f t="shared" si="5"/>
        <v>176.4249336</v>
      </c>
    </row>
    <row r="4">
      <c r="A4" s="80" t="s">
        <v>106</v>
      </c>
      <c r="B4" s="79" t="str">
        <f t="shared" si="6"/>
        <v>acumulado (bruto)</v>
      </c>
      <c r="C4" s="82">
        <f>HLOOKUP($A4,'Página20'!$A:$E,C$1-2016+2,FALSE)</f>
        <v>14.79241536</v>
      </c>
      <c r="D4" s="82">
        <f>HLOOKUP($A4,'Página20'!$A:$E,D$1-2016+2,FALSE)</f>
        <v>15.59545625</v>
      </c>
      <c r="E4" s="82">
        <f>HLOOKUP($A4,'Página20'!$A:$E,E$1-2016+2,FALSE)</f>
        <v>16.58559823</v>
      </c>
      <c r="F4" s="82">
        <f>HLOOKUP($A4,'Página20'!$A:$E,F$1-2016+2,FALSE)</f>
        <v>16.46473227</v>
      </c>
      <c r="G4" s="82">
        <f>HLOOKUP($A4,'Página20'!$A:$E,G$1-2016+2,FALSE)</f>
        <v>16.85087742</v>
      </c>
      <c r="H4" s="82">
        <f>HLOOKUP($A4,'Página20'!$A:$E,H$1-2016+2,FALSE)</f>
        <v>17.50725466</v>
      </c>
      <c r="I4" s="82">
        <f>HLOOKUP($A4,'Página20'!$A:$E,I$1-2016+2,FALSE)</f>
        <v>18.91810741</v>
      </c>
      <c r="J4" s="82">
        <f>HLOOKUP($A4,'Página20'!$A:$E,J$1-2016+2,FALSE)</f>
        <v>18.71102604</v>
      </c>
      <c r="K4" s="82">
        <f>HLOOKUP($A4,'Página20'!$A:$E,K$1-2016+2,FALSE)</f>
        <v>19.4321424</v>
      </c>
      <c r="L4" s="82">
        <f>HLOOKUP($A4,'Página20'!$A:$E,L$1-2016+2,FALSE)</f>
        <v>18.44783222</v>
      </c>
      <c r="M4" s="82">
        <f>HLOOKUP($A4,'Página20'!$A:$E,M$1-2016+2,FALSE)</f>
        <v>17.10628062</v>
      </c>
      <c r="N4" s="82">
        <f>HLOOKUP($A4,'Página20'!$A:$E,N$1-2016+2,FALSE)</f>
        <v>16.6966139</v>
      </c>
      <c r="O4" s="82">
        <f t="shared" si="2"/>
        <v>63.43820211</v>
      </c>
      <c r="P4" s="82">
        <f t="shared" si="3"/>
        <v>71.98726553</v>
      </c>
      <c r="Q4" s="58">
        <f t="shared" si="4"/>
        <v>71.68286913</v>
      </c>
      <c r="R4" s="58">
        <f t="shared" si="5"/>
        <v>207.1083368</v>
      </c>
    </row>
    <row r="5">
      <c r="A5" s="79" t="str">
        <f t="shared" ref="A5:A13" si="8">A2</f>
        <v>AFFC</v>
      </c>
      <c r="B5" s="80" t="s">
        <v>113</v>
      </c>
      <c r="C5" s="82">
        <f t="shared" ref="C5:N5" si="7">C2-C$2</f>
        <v>0</v>
      </c>
      <c r="D5" s="82">
        <f t="shared" si="7"/>
        <v>0</v>
      </c>
      <c r="E5" s="82">
        <f t="shared" si="7"/>
        <v>0</v>
      </c>
      <c r="F5" s="82">
        <f t="shared" si="7"/>
        <v>0</v>
      </c>
      <c r="G5" s="82">
        <f t="shared" si="7"/>
        <v>0</v>
      </c>
      <c r="H5" s="82">
        <f t="shared" si="7"/>
        <v>0</v>
      </c>
      <c r="I5" s="82">
        <f t="shared" si="7"/>
        <v>0</v>
      </c>
      <c r="J5" s="82">
        <f t="shared" si="7"/>
        <v>0</v>
      </c>
      <c r="K5" s="82">
        <f t="shared" si="7"/>
        <v>0</v>
      </c>
      <c r="L5" s="82">
        <f t="shared" si="7"/>
        <v>0</v>
      </c>
      <c r="M5" s="82">
        <f t="shared" si="7"/>
        <v>0</v>
      </c>
      <c r="N5" s="82">
        <f t="shared" si="7"/>
        <v>0</v>
      </c>
      <c r="O5" s="82">
        <f t="shared" si="2"/>
        <v>0</v>
      </c>
      <c r="P5" s="82">
        <f t="shared" si="3"/>
        <v>0</v>
      </c>
      <c r="Q5" s="58">
        <f t="shared" si="4"/>
        <v>0</v>
      </c>
      <c r="R5" s="58">
        <f t="shared" si="5"/>
        <v>0</v>
      </c>
    </row>
    <row r="6">
      <c r="A6" s="79" t="str">
        <f t="shared" si="8"/>
        <v>AFRFB</v>
      </c>
      <c r="B6" s="79" t="str">
        <f t="shared" ref="B6:B7" si="10">B5</f>
        <v>diferença (bruto)</v>
      </c>
      <c r="C6" s="82">
        <f t="shared" ref="C6:N6" si="9">C3-C$2</f>
        <v>0.9922058927</v>
      </c>
      <c r="D6" s="82">
        <f t="shared" si="9"/>
        <v>1.933133115</v>
      </c>
      <c r="E6" s="82">
        <f t="shared" si="9"/>
        <v>1.596224816</v>
      </c>
      <c r="F6" s="82">
        <f t="shared" si="9"/>
        <v>1.283116104</v>
      </c>
      <c r="G6" s="82">
        <f t="shared" si="9"/>
        <v>1.283116104</v>
      </c>
      <c r="H6" s="82">
        <f t="shared" si="9"/>
        <v>1.283116104</v>
      </c>
      <c r="I6" s="82">
        <f t="shared" si="9"/>
        <v>1.283116104</v>
      </c>
      <c r="J6" s="82">
        <f t="shared" si="9"/>
        <v>1.207096869</v>
      </c>
      <c r="K6" s="82">
        <f t="shared" si="9"/>
        <v>1.828135987</v>
      </c>
      <c r="L6" s="82">
        <f t="shared" si="9"/>
        <v>1.144398874</v>
      </c>
      <c r="M6" s="82">
        <f t="shared" si="9"/>
        <v>1.231948301</v>
      </c>
      <c r="N6" s="82">
        <f t="shared" si="9"/>
        <v>1.363325318</v>
      </c>
      <c r="O6" s="82">
        <f t="shared" si="2"/>
        <v>5.804679928</v>
      </c>
      <c r="P6" s="82">
        <f t="shared" si="3"/>
        <v>5.056445182</v>
      </c>
      <c r="Q6" s="58">
        <f t="shared" si="4"/>
        <v>5.56780848</v>
      </c>
      <c r="R6" s="58">
        <f t="shared" si="5"/>
        <v>16.42893359</v>
      </c>
    </row>
    <row r="7">
      <c r="A7" s="79" t="str">
        <f t="shared" si="8"/>
        <v>PFN</v>
      </c>
      <c r="B7" s="79" t="str">
        <f t="shared" si="10"/>
        <v>diferença (bruto)</v>
      </c>
      <c r="C7" s="82">
        <f t="shared" ref="C7:N7" si="11">C4-C$2</f>
        <v>1.459415355</v>
      </c>
      <c r="D7" s="82">
        <f t="shared" si="11"/>
        <v>2.262456253</v>
      </c>
      <c r="E7" s="82">
        <f t="shared" si="11"/>
        <v>3.252598232</v>
      </c>
      <c r="F7" s="82">
        <f t="shared" si="11"/>
        <v>3.131732269</v>
      </c>
      <c r="G7" s="82">
        <f t="shared" si="11"/>
        <v>3.517877419</v>
      </c>
      <c r="H7" s="82">
        <f t="shared" si="11"/>
        <v>4.174254659</v>
      </c>
      <c r="I7" s="82">
        <f t="shared" si="11"/>
        <v>5.585107412</v>
      </c>
      <c r="J7" s="82">
        <f t="shared" si="11"/>
        <v>5.378026041</v>
      </c>
      <c r="K7" s="82">
        <f t="shared" si="11"/>
        <v>6.0991424</v>
      </c>
      <c r="L7" s="82">
        <f t="shared" si="11"/>
        <v>5.114832215</v>
      </c>
      <c r="M7" s="82">
        <f t="shared" si="11"/>
        <v>3.773280624</v>
      </c>
      <c r="N7" s="82">
        <f t="shared" si="11"/>
        <v>3.363613895</v>
      </c>
      <c r="O7" s="82">
        <f t="shared" si="2"/>
        <v>10.10620211</v>
      </c>
      <c r="P7" s="82">
        <f t="shared" si="3"/>
        <v>18.65526553</v>
      </c>
      <c r="Q7" s="58">
        <f t="shared" si="4"/>
        <v>18.35086913</v>
      </c>
      <c r="R7" s="58">
        <f t="shared" si="5"/>
        <v>47.11233677</v>
      </c>
    </row>
    <row r="8">
      <c r="A8" s="79" t="str">
        <f t="shared" si="8"/>
        <v>AFFC</v>
      </c>
      <c r="B8" s="80" t="s">
        <v>114</v>
      </c>
      <c r="C8" s="82">
        <f>HLOOKUP($A8,'Página20'!$A:$E,C$1-2016+2+12,FALSE)</f>
        <v>13.333</v>
      </c>
      <c r="D8" s="82">
        <f>HLOOKUP($A8,'Página20'!$A:$E,D$1-2016+2+12,FALSE)</f>
        <v>13.333</v>
      </c>
      <c r="E8" s="82">
        <f>HLOOKUP($A8,'Página20'!$A:$E,E$1-2016+2+12,FALSE)</f>
        <v>13.333</v>
      </c>
      <c r="F8" s="82">
        <f>HLOOKUP($A8,'Página20'!$A:$E,F$1-2016+2+12,FALSE)</f>
        <v>13.333</v>
      </c>
      <c r="G8" s="82">
        <f>HLOOKUP($A8,'Página20'!$A:$E,G$1-2016+2+12,FALSE)</f>
        <v>13.333</v>
      </c>
      <c r="H8" s="82">
        <f>HLOOKUP($A8,'Página20'!$A:$E,H$1-2016+2+12,FALSE)</f>
        <v>13.333</v>
      </c>
      <c r="I8" s="82">
        <f>HLOOKUP($A8,'Página20'!$A:$E,I$1-2016+2+12,FALSE)</f>
        <v>13.333</v>
      </c>
      <c r="J8" s="82">
        <f>HLOOKUP($A8,'Página20'!$A:$E,J$1-2016+2+12,FALSE)</f>
        <v>13.333</v>
      </c>
      <c r="K8" s="82">
        <f>HLOOKUP($A8,'Página20'!$A:$E,K$1-2016+2+12,FALSE)</f>
        <v>13.333</v>
      </c>
      <c r="L8" s="82">
        <f>HLOOKUP($A8,'Página20'!$A:$E,L$1-2016+2+12,FALSE)</f>
        <v>13.333</v>
      </c>
      <c r="M8" s="82">
        <f>HLOOKUP($A8,'Página20'!$A:$E,M$1-2016+2+12,FALSE)</f>
        <v>13.333</v>
      </c>
      <c r="N8" s="82">
        <f>HLOOKUP($A8,'Página20'!$A:$E,N$1-2016+2+12,FALSE)</f>
        <v>13.333</v>
      </c>
      <c r="O8" s="82">
        <f t="shared" si="2"/>
        <v>53.332</v>
      </c>
      <c r="P8" s="82">
        <f t="shared" si="3"/>
        <v>53.332</v>
      </c>
      <c r="Q8" s="58">
        <f t="shared" si="4"/>
        <v>53.332</v>
      </c>
      <c r="R8" s="58">
        <f t="shared" si="5"/>
        <v>159.996</v>
      </c>
    </row>
    <row r="9">
      <c r="A9" s="79" t="str">
        <f t="shared" si="8"/>
        <v>AFRFB</v>
      </c>
      <c r="B9" s="79" t="str">
        <f t="shared" ref="B9:B10" si="12">B8</f>
        <v>acumulado (líquido)</v>
      </c>
      <c r="C9" s="82">
        <f>HLOOKUP($A9,'Página20'!$A:$E,C$1-2016+2+12,FALSE)</f>
        <v>14.34264797</v>
      </c>
      <c r="D9" s="82">
        <f>HLOOKUP($A9,'Página20'!$A:$E,D$1-2016+2+12,FALSE)</f>
        <v>15.33850251</v>
      </c>
      <c r="E9" s="82">
        <f>HLOOKUP($A9,'Página20'!$A:$E,E$1-2016+2+12,FALSE)</f>
        <v>15.01406918</v>
      </c>
      <c r="F9" s="82">
        <f>HLOOKUP($A9,'Página20'!$A:$E,F$1-2016+2+12,FALSE)</f>
        <v>14.71084986</v>
      </c>
      <c r="G9" s="82">
        <f>HLOOKUP($A9,'Página20'!$A:$E,G$1-2016+2+12,FALSE)</f>
        <v>14.77540388</v>
      </c>
      <c r="H9" s="82">
        <f>HLOOKUP($A9,'Página20'!$A:$E,H$1-2016+2+12,FALSE)</f>
        <v>14.7838575</v>
      </c>
      <c r="I9" s="82">
        <f>HLOOKUP($A9,'Página20'!$A:$E,I$1-2016+2+12,FALSE)</f>
        <v>14.7781099</v>
      </c>
      <c r="J9" s="82">
        <f>HLOOKUP($A9,'Página20'!$A:$E,J$1-2016+2+12,FALSE)</f>
        <v>14.69592092</v>
      </c>
      <c r="K9" s="82">
        <f>HLOOKUP($A9,'Página20'!$A:$E,K$1-2016+2+12,FALSE)</f>
        <v>15.39380202</v>
      </c>
      <c r="L9" s="82">
        <f>HLOOKUP($A9,'Página20'!$A:$E,L$1-2016+2+12,FALSE)</f>
        <v>14.91877163</v>
      </c>
      <c r="M9" s="82">
        <f>HLOOKUP($A9,'Página20'!$A:$E,M$1-2016+2+12,FALSE)</f>
        <v>15.22708897</v>
      </c>
      <c r="N9" s="82">
        <f>HLOOKUP($A9,'Página20'!$A:$E,N$1-2016+2+12,FALSE)</f>
        <v>15.43782821</v>
      </c>
      <c r="O9" s="82">
        <f t="shared" si="2"/>
        <v>59.40606951</v>
      </c>
      <c r="P9" s="82">
        <f t="shared" si="3"/>
        <v>59.0332922</v>
      </c>
      <c r="Q9" s="58">
        <f t="shared" si="4"/>
        <v>60.97749084</v>
      </c>
      <c r="R9" s="58">
        <f t="shared" si="5"/>
        <v>179.4168525</v>
      </c>
    </row>
    <row r="10">
      <c r="A10" s="79" t="str">
        <f t="shared" si="8"/>
        <v>PFN</v>
      </c>
      <c r="B10" s="79" t="str">
        <f t="shared" si="12"/>
        <v>acumulado (líquido)</v>
      </c>
      <c r="C10" s="82">
        <f>HLOOKUP($A10,'Página20'!$A:$E,C$1-2016+2+12,FALSE)</f>
        <v>14.79749312</v>
      </c>
      <c r="D10" s="82">
        <f>HLOOKUP($A10,'Página20'!$A:$E,D$1-2016+2+12,FALSE)</f>
        <v>15.68896414</v>
      </c>
      <c r="E10" s="82">
        <f>HLOOKUP($A10,'Página20'!$A:$E,E$1-2016+2+12,FALSE)</f>
        <v>16.78261153</v>
      </c>
      <c r="F10" s="82">
        <f>HLOOKUP($A10,'Página20'!$A:$E,F$1-2016+2+12,FALSE)</f>
        <v>16.69048947</v>
      </c>
      <c r="G10" s="82">
        <f>HLOOKUP($A10,'Página20'!$A:$E,G$1-2016+2+12,FALSE)</f>
        <v>17.27731303</v>
      </c>
      <c r="H10" s="82">
        <f>HLOOKUP($A10,'Página20'!$A:$E,H$1-2016+2+12,FALSE)</f>
        <v>18.03744038</v>
      </c>
      <c r="I10" s="82">
        <f>HLOOKUP($A10,'Página20'!$A:$E,I$1-2016+2+12,FALSE)</f>
        <v>19.60024734</v>
      </c>
      <c r="J10" s="82">
        <f>HLOOKUP($A10,'Página20'!$A:$E,J$1-2016+2+12,FALSE)</f>
        <v>19.38106922</v>
      </c>
      <c r="K10" s="82">
        <f>HLOOKUP($A10,'Página20'!$A:$E,K$1-2016+2+12,FALSE)</f>
        <v>20.19237881</v>
      </c>
      <c r="L10" s="82">
        <f>HLOOKUP($A10,'Página20'!$A:$E,L$1-2016+2+12,FALSE)</f>
        <v>19.41928616</v>
      </c>
      <c r="M10" s="82">
        <f>HLOOKUP($A10,'Página20'!$A:$E,M$1-2016+2+12,FALSE)</f>
        <v>18.1228299</v>
      </c>
      <c r="N10" s="82">
        <f>HLOOKUP($A10,'Página20'!$A:$E,N$1-2016+2+12,FALSE)</f>
        <v>17.72356271</v>
      </c>
      <c r="O10" s="82">
        <f t="shared" si="2"/>
        <v>63.95955826</v>
      </c>
      <c r="P10" s="82">
        <f t="shared" si="3"/>
        <v>74.29606997</v>
      </c>
      <c r="Q10" s="58">
        <f t="shared" si="4"/>
        <v>75.45805759</v>
      </c>
      <c r="R10" s="58">
        <f t="shared" si="5"/>
        <v>213.7136858</v>
      </c>
    </row>
    <row r="11">
      <c r="A11" s="79" t="str">
        <f t="shared" si="8"/>
        <v>AFFC</v>
      </c>
      <c r="B11" s="80" t="s">
        <v>115</v>
      </c>
      <c r="C11" s="82">
        <f t="shared" ref="C11:N11" si="13">C8-C$8</f>
        <v>0</v>
      </c>
      <c r="D11" s="82">
        <f t="shared" si="13"/>
        <v>0</v>
      </c>
      <c r="E11" s="82">
        <f t="shared" si="13"/>
        <v>0</v>
      </c>
      <c r="F11" s="82">
        <f t="shared" si="13"/>
        <v>0</v>
      </c>
      <c r="G11" s="82">
        <f t="shared" si="13"/>
        <v>0</v>
      </c>
      <c r="H11" s="82">
        <f t="shared" si="13"/>
        <v>0</v>
      </c>
      <c r="I11" s="82">
        <f t="shared" si="13"/>
        <v>0</v>
      </c>
      <c r="J11" s="82">
        <f t="shared" si="13"/>
        <v>0</v>
      </c>
      <c r="K11" s="82">
        <f t="shared" si="13"/>
        <v>0</v>
      </c>
      <c r="L11" s="82">
        <f t="shared" si="13"/>
        <v>0</v>
      </c>
      <c r="M11" s="82">
        <f t="shared" si="13"/>
        <v>0</v>
      </c>
      <c r="N11" s="82">
        <f t="shared" si="13"/>
        <v>0</v>
      </c>
      <c r="O11" s="82">
        <f t="shared" si="2"/>
        <v>0</v>
      </c>
      <c r="P11" s="82">
        <f t="shared" si="3"/>
        <v>0</v>
      </c>
      <c r="Q11" s="58">
        <f t="shared" si="4"/>
        <v>0</v>
      </c>
      <c r="R11" s="58">
        <f t="shared" si="5"/>
        <v>0</v>
      </c>
    </row>
    <row r="12">
      <c r="A12" s="79" t="str">
        <f t="shared" si="8"/>
        <v>AFRFB</v>
      </c>
      <c r="B12" s="79" t="str">
        <f t="shared" ref="B12:B13" si="15">B11</f>
        <v>diferença (líquido)</v>
      </c>
      <c r="C12" s="82">
        <f t="shared" ref="C12:N12" si="14">C9-C$8</f>
        <v>1.009647966</v>
      </c>
      <c r="D12" s="82">
        <f t="shared" si="14"/>
        <v>2.005502509</v>
      </c>
      <c r="E12" s="82">
        <f t="shared" si="14"/>
        <v>1.681069178</v>
      </c>
      <c r="F12" s="82">
        <f t="shared" si="14"/>
        <v>1.377849856</v>
      </c>
      <c r="G12" s="82">
        <f t="shared" si="14"/>
        <v>1.442403879</v>
      </c>
      <c r="H12" s="82">
        <f t="shared" si="14"/>
        <v>1.450857502</v>
      </c>
      <c r="I12" s="82">
        <f t="shared" si="14"/>
        <v>1.445109897</v>
      </c>
      <c r="J12" s="82">
        <f t="shared" si="14"/>
        <v>1.362920921</v>
      </c>
      <c r="K12" s="82">
        <f t="shared" si="14"/>
        <v>2.060802023</v>
      </c>
      <c r="L12" s="82">
        <f t="shared" si="14"/>
        <v>1.585771633</v>
      </c>
      <c r="M12" s="82">
        <f t="shared" si="14"/>
        <v>1.894088966</v>
      </c>
      <c r="N12" s="82">
        <f t="shared" si="14"/>
        <v>2.104828214</v>
      </c>
      <c r="O12" s="82">
        <f t="shared" si="2"/>
        <v>6.074069508</v>
      </c>
      <c r="P12" s="82">
        <f t="shared" si="3"/>
        <v>5.701292198</v>
      </c>
      <c r="Q12" s="58">
        <f t="shared" si="4"/>
        <v>7.645490837</v>
      </c>
      <c r="R12" s="58">
        <f t="shared" si="5"/>
        <v>19.42085254</v>
      </c>
    </row>
    <row r="13">
      <c r="A13" s="79" t="str">
        <f t="shared" si="8"/>
        <v>PFN</v>
      </c>
      <c r="B13" s="79" t="str">
        <f t="shared" si="15"/>
        <v>diferença (líquido)</v>
      </c>
      <c r="C13" s="82">
        <f t="shared" ref="C13:N13" si="16">C10-C$8</f>
        <v>1.464493123</v>
      </c>
      <c r="D13" s="82">
        <f t="shared" si="16"/>
        <v>2.355964144</v>
      </c>
      <c r="E13" s="82">
        <f t="shared" si="16"/>
        <v>3.44961153</v>
      </c>
      <c r="F13" s="82">
        <f t="shared" si="16"/>
        <v>3.357489466</v>
      </c>
      <c r="G13" s="82">
        <f t="shared" si="16"/>
        <v>3.94431303</v>
      </c>
      <c r="H13" s="82">
        <f t="shared" si="16"/>
        <v>4.704440382</v>
      </c>
      <c r="I13" s="82">
        <f t="shared" si="16"/>
        <v>6.267247341</v>
      </c>
      <c r="J13" s="82">
        <f t="shared" si="16"/>
        <v>6.048069216</v>
      </c>
      <c r="K13" s="82">
        <f t="shared" si="16"/>
        <v>6.859378811</v>
      </c>
      <c r="L13" s="82">
        <f t="shared" si="16"/>
        <v>6.08628616</v>
      </c>
      <c r="M13" s="82">
        <f t="shared" si="16"/>
        <v>4.789829904</v>
      </c>
      <c r="N13" s="82">
        <f t="shared" si="16"/>
        <v>4.390562714</v>
      </c>
      <c r="O13" s="82">
        <f t="shared" si="2"/>
        <v>10.62755826</v>
      </c>
      <c r="P13" s="82">
        <f t="shared" si="3"/>
        <v>20.96406997</v>
      </c>
      <c r="Q13" s="58">
        <f t="shared" si="4"/>
        <v>22.12605759</v>
      </c>
      <c r="R13" s="58">
        <f t="shared" si="5"/>
        <v>53.71768582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9" width="12.0"/>
  </cols>
  <sheetData>
    <row r="1">
      <c r="A1" s="32" t="s">
        <v>9</v>
      </c>
      <c r="B1" s="33" t="str">
        <f>'Página11'!B1</f>
        <v>PGFN | Real (bruto)</v>
      </c>
      <c r="C1" s="33" t="str">
        <f>'Página11'!C1</f>
        <v>PGFN | Ideal (bruto)</v>
      </c>
      <c r="D1" s="33" t="str">
        <f>'Página11'!D1</f>
        <v>SERFB | Real (bruto)</v>
      </c>
      <c r="E1" s="33" t="str">
        <f>'Página11'!E1</f>
        <v>SERFB | Ideal (bruto)</v>
      </c>
      <c r="F1" s="33" t="str">
        <f>'Página11'!F1</f>
        <v>STN (bruto)</v>
      </c>
      <c r="G1" s="33" t="str">
        <f>'Página11'!G1</f>
        <v>PGFN | Real (líquido)</v>
      </c>
      <c r="H1" s="33" t="str">
        <f>'Página11'!H1</f>
        <v>PGFN | Ideal (líquido)</v>
      </c>
      <c r="I1" s="33" t="str">
        <f>'Página11'!I1</f>
        <v>SERFB | Real (líquido)</v>
      </c>
      <c r="J1" s="33" t="str">
        <f>'Página11'!J1</f>
        <v>SERFB | Ideal (líquido)</v>
      </c>
      <c r="K1" s="33" t="str">
        <f>'Página11'!K1</f>
        <v>STN (líquido)</v>
      </c>
      <c r="L1" s="33" t="str">
        <f>'Página11'!L1</f>
        <v>PGFN: subsídio (bruto)</v>
      </c>
      <c r="M1" s="33" t="str">
        <f>'Página11'!M1</f>
        <v>PGFN: HA (bruto)</v>
      </c>
      <c r="N1" s="33" t="str">
        <f>'Página11'!N1</f>
        <v>SERFB: VB (bruto)</v>
      </c>
      <c r="O1" s="33" t="str">
        <f>'Página11'!O1</f>
        <v>SERFB: BEP (bruto)</v>
      </c>
      <c r="P1" s="33" t="str">
        <f>'Página11'!P1</f>
        <v>PGFN: subsídio (líquido)</v>
      </c>
      <c r="Q1" s="33" t="str">
        <f>'Página11'!Q1</f>
        <v>PGFN: HA (líquido)</v>
      </c>
      <c r="R1" s="33" t="str">
        <f>'Página11'!R1</f>
        <v>SERFB: VB (líquido)</v>
      </c>
      <c r="S1" s="33" t="str">
        <f>'Página11'!S1</f>
        <v>SERFB: BEP (líquido)</v>
      </c>
    </row>
    <row r="2">
      <c r="A2" s="34">
        <v>42370.0</v>
      </c>
      <c r="B2" s="48">
        <f t="shared" ref="B2:B27" si="1">L2+M2</f>
        <v>1.052631234</v>
      </c>
      <c r="C2" s="48">
        <f>'Página11'!C2/'Página11'!$F2</f>
        <v>1.052631579</v>
      </c>
      <c r="D2" s="48">
        <f t="shared" ref="D2:D27" si="2">N2+O2</f>
        <v>1.05262843</v>
      </c>
      <c r="E2" s="48">
        <f>'Página11'!E2/'Página11'!$F2</f>
        <v>1.052631579</v>
      </c>
      <c r="F2" s="48">
        <f>'Página11'!F2/'Página11'!$F2</f>
        <v>1</v>
      </c>
      <c r="G2" s="48">
        <f t="shared" ref="G2:G27" si="3">P2+ROUND((Q2/13.33333)*13,2)</f>
        <v>1.049512785</v>
      </c>
      <c r="H2" s="48">
        <f>'Página11'!H2/'Página11'!$K2</f>
        <v>1.049513149</v>
      </c>
      <c r="I2" s="48">
        <f t="shared" ref="I2:I27" si="4">R2+ROUND((S2/13.33333)*12,2)</f>
        <v>1.04950982</v>
      </c>
      <c r="J2" s="48">
        <f>'Página11'!J2/'Página11'!$K2</f>
        <v>1.049513149</v>
      </c>
      <c r="K2" s="48">
        <f>'Página11'!K2/'Página11'!$K2</f>
        <v>1</v>
      </c>
      <c r="L2" s="48">
        <f>'Página11'!L2/'Página11'!$F2</f>
        <v>1.052631234</v>
      </c>
      <c r="M2" s="48">
        <f>'Página11'!M2/'Página11'!$F2</f>
        <v>0</v>
      </c>
      <c r="N2" s="48">
        <f>'Página11'!N2/'Página11'!$F2</f>
        <v>1.05262843</v>
      </c>
      <c r="O2" s="48">
        <f>'Página11'!O2/'Página11'!$F2</f>
        <v>0</v>
      </c>
      <c r="P2" s="48">
        <f>'Página11'!P2/'Página11'!$K2</f>
        <v>1.049512785</v>
      </c>
      <c r="Q2" s="48">
        <f>'Página11'!Q2/'Página11'!$K2</f>
        <v>0</v>
      </c>
      <c r="R2" s="48">
        <f>'Página11'!R2/'Página11'!$K2</f>
        <v>1.04950982</v>
      </c>
      <c r="S2" s="48">
        <f>'Página11'!S2/'Página11'!$K2</f>
        <v>0</v>
      </c>
    </row>
    <row r="3">
      <c r="A3" s="34">
        <v>42583.0</v>
      </c>
      <c r="B3" s="48">
        <f t="shared" si="1"/>
        <v>1.185565064</v>
      </c>
      <c r="C3" s="48">
        <f>'Página11'!C3/'Página11'!$F3</f>
        <v>1.052631579</v>
      </c>
      <c r="D3" s="48">
        <f t="shared" si="2"/>
        <v>0.9977520881</v>
      </c>
      <c r="E3" s="48">
        <f>'Página11'!E3/'Página11'!$F3</f>
        <v>1.052631579</v>
      </c>
      <c r="F3" s="48">
        <f>'Página11'!F3/'Página11'!$F3</f>
        <v>1</v>
      </c>
      <c r="G3" s="48">
        <f t="shared" si="3"/>
        <v>1.189666216</v>
      </c>
      <c r="H3" s="48">
        <f>'Página11'!H3/'Página11'!$K3</f>
        <v>1.049666636</v>
      </c>
      <c r="I3" s="48">
        <f t="shared" si="4"/>
        <v>0.9978787168</v>
      </c>
      <c r="J3" s="48">
        <f>'Página11'!J3/'Página11'!$K3</f>
        <v>1.049666636</v>
      </c>
      <c r="K3" s="48">
        <f>'Página11'!K3/'Página11'!$K3</f>
        <v>1</v>
      </c>
      <c r="L3" s="48">
        <f>'Página11'!L3/'Página11'!$F3</f>
        <v>1.052631182</v>
      </c>
      <c r="M3" s="48">
        <f>'Página11'!M3/'Página11'!$F3</f>
        <v>0.1329338818</v>
      </c>
      <c r="N3" s="48">
        <f>'Página11'!N3/'Página11'!$F3</f>
        <v>0.9977520881</v>
      </c>
      <c r="O3" s="48">
        <f>'Página11'!O3/'Página11'!$F3</f>
        <v>0</v>
      </c>
      <c r="P3" s="48">
        <f>'Página11'!P3/'Página11'!$K3</f>
        <v>1.049666216</v>
      </c>
      <c r="Q3" s="48">
        <f>'Página11'!Q3/'Página11'!$K3</f>
        <v>0.1409490469</v>
      </c>
      <c r="R3" s="48">
        <f>'Página11'!R3/'Página11'!$K3</f>
        <v>0.9978787168</v>
      </c>
      <c r="S3" s="48">
        <f>'Página11'!S3/'Página11'!$K3</f>
        <v>0</v>
      </c>
    </row>
    <row r="4">
      <c r="A4" s="34">
        <v>42614.0</v>
      </c>
      <c r="B4" s="48">
        <f t="shared" si="1"/>
        <v>1.185565064</v>
      </c>
      <c r="C4" s="48">
        <f>'Página11'!C4/'Página11'!$F4</f>
        <v>1.052631579</v>
      </c>
      <c r="D4" s="48">
        <f t="shared" si="2"/>
        <v>1.13068597</v>
      </c>
      <c r="E4" s="48">
        <f>'Página11'!E4/'Página11'!$F4</f>
        <v>1.052631579</v>
      </c>
      <c r="F4" s="48">
        <f>'Página11'!F4/'Página11'!$F4</f>
        <v>1</v>
      </c>
      <c r="G4" s="48">
        <f t="shared" si="3"/>
        <v>1.189666216</v>
      </c>
      <c r="H4" s="48">
        <f>'Página11'!H4/'Página11'!$K4</f>
        <v>1.049666636</v>
      </c>
      <c r="I4" s="48">
        <f t="shared" si="4"/>
        <v>1.127878717</v>
      </c>
      <c r="J4" s="48">
        <f>'Página11'!J4/'Página11'!$K4</f>
        <v>1.049666636</v>
      </c>
      <c r="K4" s="48">
        <f>'Página11'!K4/'Página11'!$K4</f>
        <v>1</v>
      </c>
      <c r="L4" s="48">
        <f>'Página11'!L4/'Página11'!$F4</f>
        <v>1.052631182</v>
      </c>
      <c r="M4" s="48">
        <f>'Página11'!M4/'Página11'!$F4</f>
        <v>0.1329338818</v>
      </c>
      <c r="N4" s="48">
        <f>'Página11'!N4/'Página11'!$F4</f>
        <v>0.9977520881</v>
      </c>
      <c r="O4" s="48">
        <f>'Página11'!O4/'Página11'!$F4</f>
        <v>0.1329338818</v>
      </c>
      <c r="P4" s="48">
        <f>'Página11'!P4/'Página11'!$K4</f>
        <v>1.049666216</v>
      </c>
      <c r="Q4" s="48">
        <f>'Página11'!Q4/'Página11'!$K4</f>
        <v>0.1409490469</v>
      </c>
      <c r="R4" s="48">
        <f>'Página11'!R4/'Página11'!$K4</f>
        <v>0.9978787168</v>
      </c>
      <c r="S4" s="48">
        <f>'Página11'!S4/'Página11'!$K4</f>
        <v>0.1409490469</v>
      </c>
    </row>
    <row r="5">
      <c r="A5" s="34">
        <v>42734.0</v>
      </c>
      <c r="B5" s="48">
        <f t="shared" si="1"/>
        <v>1.185565064</v>
      </c>
      <c r="C5" s="48">
        <f>'Página11'!C5/'Página11'!$F5</f>
        <v>1.052631579</v>
      </c>
      <c r="D5" s="48">
        <f t="shared" si="2"/>
        <v>1.185562406</v>
      </c>
      <c r="E5" s="48">
        <f>'Página11'!E5/'Página11'!$F5</f>
        <v>1.052631579</v>
      </c>
      <c r="F5" s="48">
        <f>'Página11'!F5/'Página11'!$F5</f>
        <v>1</v>
      </c>
      <c r="G5" s="48">
        <f t="shared" si="3"/>
        <v>1.189666216</v>
      </c>
      <c r="H5" s="48">
        <f>'Página11'!H5/'Página11'!$K5</f>
        <v>1.049666636</v>
      </c>
      <c r="I5" s="48">
        <f t="shared" si="4"/>
        <v>1.179663866</v>
      </c>
      <c r="J5" s="48">
        <f>'Página11'!J5/'Página11'!$K5</f>
        <v>1.049666636</v>
      </c>
      <c r="K5" s="48">
        <f>'Página11'!K5/'Página11'!$K5</f>
        <v>1</v>
      </c>
      <c r="L5" s="48">
        <f>'Página11'!L5/'Página11'!$F5</f>
        <v>1.052631182</v>
      </c>
      <c r="M5" s="48">
        <f>'Página11'!M5/'Página11'!$F5</f>
        <v>0.1329338818</v>
      </c>
      <c r="N5" s="48">
        <f>'Página11'!N5/'Página11'!$F5</f>
        <v>1.052628524</v>
      </c>
      <c r="O5" s="48">
        <f>'Página11'!O5/'Página11'!$F5</f>
        <v>0.1329338818</v>
      </c>
      <c r="P5" s="48">
        <f>'Página11'!P5/'Página11'!$K5</f>
        <v>1.049666216</v>
      </c>
      <c r="Q5" s="48">
        <f>'Página11'!Q5/'Página11'!$K5</f>
        <v>0.1409490469</v>
      </c>
      <c r="R5" s="48">
        <f>'Página11'!R5/'Página11'!$K5</f>
        <v>1.049663866</v>
      </c>
      <c r="S5" s="48">
        <f>'Página11'!S5/'Página11'!$K5</f>
        <v>0.1409490469</v>
      </c>
    </row>
    <row r="6">
      <c r="A6" s="34">
        <v>42736.0</v>
      </c>
      <c r="B6" s="48">
        <f t="shared" si="1"/>
        <v>1.184858669</v>
      </c>
      <c r="C6" s="48">
        <f>'Página11'!C6/'Página11'!$F6</f>
        <v>1.052631579</v>
      </c>
      <c r="D6" s="48">
        <f t="shared" si="2"/>
        <v>1.157414717</v>
      </c>
      <c r="E6" s="48">
        <f>'Página11'!E6/'Página11'!$F6</f>
        <v>1.052631579</v>
      </c>
      <c r="F6" s="48">
        <f>'Página11'!F6/'Página11'!$F6</f>
        <v>1</v>
      </c>
      <c r="G6" s="48">
        <f t="shared" si="3"/>
        <v>1.191403388</v>
      </c>
      <c r="H6" s="48">
        <f>'Página11'!H6/'Página11'!$K6</f>
        <v>1.049849333</v>
      </c>
      <c r="I6" s="48">
        <f t="shared" si="4"/>
        <v>1.151400743</v>
      </c>
      <c r="J6" s="48">
        <f>'Página11'!J6/'Página11'!$K6</f>
        <v>1.049849333</v>
      </c>
      <c r="K6" s="48">
        <f>'Página11'!K6/'Página11'!$K6</f>
        <v>1</v>
      </c>
      <c r="L6" s="48">
        <f>'Página11'!L6/'Página11'!$F6</f>
        <v>1.033156247</v>
      </c>
      <c r="M6" s="48">
        <f>'Página11'!M6/'Página11'!$F6</f>
        <v>0.1517024222</v>
      </c>
      <c r="N6" s="48">
        <f>'Página11'!N6/'Página11'!$F6</f>
        <v>1.033153348</v>
      </c>
      <c r="O6" s="48">
        <f>'Página11'!O6/'Página11'!$F6</f>
        <v>0.1242613697</v>
      </c>
      <c r="P6" s="48">
        <f>'Página11'!P6/'Página11'!$K6</f>
        <v>1.031403388</v>
      </c>
      <c r="Q6" s="48">
        <f>'Página11'!Q6/'Página11'!$K6</f>
        <v>0.16144256</v>
      </c>
      <c r="R6" s="48">
        <f>'Página11'!R6/'Página11'!$K6</f>
        <v>1.031400743</v>
      </c>
      <c r="S6" s="48">
        <f>'Página11'!S6/'Página11'!$K6</f>
        <v>0.1322396396</v>
      </c>
    </row>
    <row r="7">
      <c r="A7" s="34">
        <v>43101.0</v>
      </c>
      <c r="B7" s="48">
        <f t="shared" si="1"/>
        <v>1.265455742</v>
      </c>
      <c r="C7" s="48">
        <f>'Página11'!C7/'Página11'!$F7</f>
        <v>1.052631579</v>
      </c>
      <c r="D7" s="48">
        <f t="shared" si="2"/>
        <v>1.1313723</v>
      </c>
      <c r="E7" s="48">
        <f>'Página11'!E7/'Página11'!$F7</f>
        <v>1.052631579</v>
      </c>
      <c r="F7" s="48">
        <f>'Página11'!F7/'Página11'!$F7</f>
        <v>1</v>
      </c>
      <c r="G7" s="48">
        <f t="shared" si="3"/>
        <v>1.274112061</v>
      </c>
      <c r="H7" s="48">
        <f>'Página11'!H7/'Página11'!$K7</f>
        <v>1.05001438</v>
      </c>
      <c r="I7" s="48">
        <f t="shared" si="4"/>
        <v>1.124109158</v>
      </c>
      <c r="J7" s="48">
        <f>'Página11'!J7/'Página11'!$K7</f>
        <v>1.05001438</v>
      </c>
      <c r="K7" s="48">
        <f>'Página11'!K7/'Página11'!$K7</f>
        <v>1</v>
      </c>
      <c r="L7" s="48">
        <f>'Página11'!L7/'Página11'!$F7</f>
        <v>1.014850299</v>
      </c>
      <c r="M7" s="48">
        <f>'Página11'!M7/'Página11'!$F7</f>
        <v>0.250605443</v>
      </c>
      <c r="N7" s="48">
        <f>'Página11'!N7/'Página11'!$F7</f>
        <v>1.01484758</v>
      </c>
      <c r="O7" s="48">
        <f>'Página11'!O7/'Página11'!$F7</f>
        <v>0.1165247201</v>
      </c>
      <c r="P7" s="48">
        <f>'Página11'!P7/'Página11'!$K7</f>
        <v>1.014112061</v>
      </c>
      <c r="Q7" s="48">
        <f>'Página11'!Q7/'Página11'!$K7</f>
        <v>0.267576342</v>
      </c>
      <c r="R7" s="48">
        <f>'Página11'!R7/'Página11'!$K7</f>
        <v>1.014109158</v>
      </c>
      <c r="S7" s="48">
        <f>'Página11'!S7/'Página11'!$K7</f>
        <v>0.1244157269</v>
      </c>
    </row>
    <row r="8">
      <c r="A8" s="34">
        <v>43431.0</v>
      </c>
      <c r="B8" s="48">
        <f t="shared" si="1"/>
        <v>1.288034348</v>
      </c>
      <c r="C8" s="48">
        <f>'Página11'!C8/'Página11'!$F8</f>
        <v>1.052631579</v>
      </c>
      <c r="D8" s="48">
        <f t="shared" si="2"/>
        <v>1.1313723</v>
      </c>
      <c r="E8" s="48">
        <f>'Página11'!E8/'Página11'!$F8</f>
        <v>1.052631579</v>
      </c>
      <c r="F8" s="48">
        <f>'Página11'!F8/'Página11'!$F8</f>
        <v>1</v>
      </c>
      <c r="G8" s="48">
        <f t="shared" si="3"/>
        <v>1.294112061</v>
      </c>
      <c r="H8" s="48">
        <f>'Página11'!H8/'Página11'!$K8</f>
        <v>1.05001438</v>
      </c>
      <c r="I8" s="48">
        <f t="shared" si="4"/>
        <v>1.124109158</v>
      </c>
      <c r="J8" s="48">
        <f>'Página11'!J8/'Página11'!$K8</f>
        <v>1.05001438</v>
      </c>
      <c r="K8" s="48">
        <f>'Página11'!K8/'Página11'!$K8</f>
        <v>1</v>
      </c>
      <c r="L8" s="48">
        <f>'Página11'!L8/'Página11'!$F8</f>
        <v>1.014850299</v>
      </c>
      <c r="M8" s="48">
        <f>'Página11'!M8/'Página11'!$F8</f>
        <v>0.2731840496</v>
      </c>
      <c r="N8" s="48">
        <f>'Página11'!N8/'Página11'!$F8</f>
        <v>1.01484758</v>
      </c>
      <c r="O8" s="48">
        <f>'Página11'!O8/'Página11'!$F8</f>
        <v>0.1165247201</v>
      </c>
      <c r="P8" s="48">
        <f>'Página11'!P8/'Página11'!$K8</f>
        <v>1.014112061</v>
      </c>
      <c r="Q8" s="48">
        <f>'Página11'!Q8/'Página11'!$K8</f>
        <v>0.2916839627</v>
      </c>
      <c r="R8" s="48">
        <f>'Página11'!R8/'Página11'!$K8</f>
        <v>1.014109158</v>
      </c>
      <c r="S8" s="48">
        <f>'Página11'!S8/'Página11'!$K8</f>
        <v>0.1244157269</v>
      </c>
    </row>
    <row r="9">
      <c r="A9" s="34">
        <v>43466.0</v>
      </c>
      <c r="B9" s="48">
        <f t="shared" si="1"/>
        <v>1.261251962</v>
      </c>
      <c r="C9" s="48">
        <f>'Página11'!C9/'Página11'!$F9</f>
        <v>1.052631579</v>
      </c>
      <c r="D9" s="48">
        <f t="shared" si="2"/>
        <v>1.107197127</v>
      </c>
      <c r="E9" s="48">
        <f>'Página11'!E9/'Página11'!$F9</f>
        <v>1.052631579</v>
      </c>
      <c r="F9" s="48">
        <f>'Página11'!F9/'Página11'!$F9</f>
        <v>1</v>
      </c>
      <c r="G9" s="48">
        <f t="shared" si="3"/>
        <v>1.277702492</v>
      </c>
      <c r="H9" s="48">
        <f>'Página11'!H9/'Página11'!$K9</f>
        <v>1.050162085</v>
      </c>
      <c r="I9" s="48">
        <f t="shared" si="4"/>
        <v>1.107699753</v>
      </c>
      <c r="J9" s="48">
        <f>'Página11'!J9/'Página11'!$K9</f>
        <v>1.050162085</v>
      </c>
      <c r="K9" s="48">
        <f>'Página11'!K9/'Página11'!$K9</f>
        <v>1</v>
      </c>
      <c r="L9" s="48">
        <f>'Página11'!L9/'Página11'!$F9</f>
        <v>0.9975896677</v>
      </c>
      <c r="M9" s="48">
        <f>'Página11'!M9/'Página11'!$F9</f>
        <v>0.2636622948</v>
      </c>
      <c r="N9" s="48">
        <f>'Página11'!N9/'Página11'!$F9</f>
        <v>0.9975867447</v>
      </c>
      <c r="O9" s="48">
        <f>'Página11'!O9/'Página11'!$F9</f>
        <v>0.1096103826</v>
      </c>
      <c r="P9" s="48">
        <f>'Página11'!P9/'Página11'!$K9</f>
        <v>0.9977024921</v>
      </c>
      <c r="Q9" s="48">
        <f>'Página11'!Q9/'Página11'!$K9</f>
        <v>0.2823504998</v>
      </c>
      <c r="R9" s="48">
        <f>'Página11'!R9/'Página11'!$K9</f>
        <v>0.9976997532</v>
      </c>
      <c r="S9" s="48">
        <f>'Página11'!S9/'Página11'!$K9</f>
        <v>0.1173794923</v>
      </c>
    </row>
    <row r="10">
      <c r="A10" s="34">
        <v>43831.0</v>
      </c>
      <c r="B10" s="48">
        <f t="shared" si="1"/>
        <v>1.284403502</v>
      </c>
      <c r="C10" s="48">
        <f>'Página11'!C10/'Página11'!$F10</f>
        <v>1.052631579</v>
      </c>
      <c r="D10" s="48">
        <f t="shared" si="2"/>
        <v>1.107197127</v>
      </c>
      <c r="E10" s="48">
        <f>'Página11'!E10/'Página11'!$F10</f>
        <v>1.052631579</v>
      </c>
      <c r="F10" s="48">
        <f>'Página11'!F10/'Página11'!$F10</f>
        <v>1</v>
      </c>
      <c r="G10" s="48">
        <f t="shared" si="3"/>
        <v>1.297702492</v>
      </c>
      <c r="H10" s="48">
        <f>'Página11'!H10/'Página11'!$K10</f>
        <v>1.050162085</v>
      </c>
      <c r="I10" s="48">
        <f t="shared" si="4"/>
        <v>1.107699753</v>
      </c>
      <c r="J10" s="48">
        <f>'Página11'!J10/'Página11'!$K10</f>
        <v>1.050162085</v>
      </c>
      <c r="K10" s="48">
        <f>'Página11'!K10/'Página11'!$K10</f>
        <v>1</v>
      </c>
      <c r="L10" s="48">
        <f>'Página11'!L10/'Página11'!$F10</f>
        <v>0.9975896677</v>
      </c>
      <c r="M10" s="48">
        <f>'Página11'!M10/'Página11'!$F10</f>
        <v>0.2868138344</v>
      </c>
      <c r="N10" s="48">
        <f>'Página11'!N10/'Página11'!$F10</f>
        <v>0.9975867447</v>
      </c>
      <c r="O10" s="48">
        <f>'Página11'!O10/'Página11'!$F10</f>
        <v>0.1096103826</v>
      </c>
      <c r="P10" s="48">
        <f>'Página11'!P10/'Página11'!$K10</f>
        <v>0.9977024921</v>
      </c>
      <c r="Q10" s="48">
        <f>'Página11'!Q10/'Página11'!$K10</f>
        <v>0.3071430049</v>
      </c>
      <c r="R10" s="48">
        <f>'Página11'!R10/'Página11'!$K10</f>
        <v>0.9976997532</v>
      </c>
      <c r="S10" s="48">
        <f>'Página11'!S10/'Página11'!$K10</f>
        <v>0.1173794923</v>
      </c>
    </row>
    <row r="11">
      <c r="A11" s="34">
        <v>43891.0</v>
      </c>
      <c r="B11" s="48">
        <f t="shared" si="1"/>
        <v>1.295024748</v>
      </c>
      <c r="C11" s="48">
        <f>'Página11'!C11/'Página11'!$F11</f>
        <v>1.052631579</v>
      </c>
      <c r="D11" s="48">
        <f t="shared" si="2"/>
        <v>1.107197127</v>
      </c>
      <c r="E11" s="48">
        <f>'Página11'!E11/'Página11'!$F11</f>
        <v>1.052631579</v>
      </c>
      <c r="F11" s="48">
        <f>'Página11'!F11/'Página11'!$F11</f>
        <v>1</v>
      </c>
      <c r="G11" s="48">
        <f t="shared" si="3"/>
        <v>1.327798652</v>
      </c>
      <c r="H11" s="48">
        <f>'Página11'!H11/'Página11'!$K11</f>
        <v>1.048073649</v>
      </c>
      <c r="I11" s="48">
        <f t="shared" si="4"/>
        <v>1.107795768</v>
      </c>
      <c r="J11" s="48">
        <f>'Página11'!J11/'Página11'!$K11</f>
        <v>1.048073649</v>
      </c>
      <c r="K11" s="48">
        <f>'Página11'!K11/'Página11'!$K11</f>
        <v>1</v>
      </c>
      <c r="L11" s="48">
        <f>'Página11'!L11/'Página11'!$F11</f>
        <v>0.9975896677</v>
      </c>
      <c r="M11" s="48">
        <f>'Página11'!M11/'Página11'!$F11</f>
        <v>0.2974350805</v>
      </c>
      <c r="N11" s="48">
        <f>'Página11'!N11/'Página11'!$F11</f>
        <v>0.9975867447</v>
      </c>
      <c r="O11" s="48">
        <f>'Página11'!O11/'Página11'!$F11</f>
        <v>0.1096103826</v>
      </c>
      <c r="P11" s="48">
        <f>'Página11'!P11/'Página11'!$K11</f>
        <v>0.9977986516</v>
      </c>
      <c r="Q11" s="48">
        <f>'Página11'!Q11/'Página11'!$K11</f>
        <v>0.335401779</v>
      </c>
      <c r="R11" s="48">
        <f>'Página11'!R11/'Página11'!$K11</f>
        <v>0.9977957675</v>
      </c>
      <c r="S11" s="48">
        <f>'Página11'!S11/'Página11'!$K11</f>
        <v>0.1236018201</v>
      </c>
    </row>
    <row r="12">
      <c r="A12" s="34">
        <v>44197.0</v>
      </c>
      <c r="B12" s="48">
        <f t="shared" si="1"/>
        <v>1.348130979</v>
      </c>
      <c r="C12" s="48">
        <f>'Página11'!C12/'Página11'!$F12</f>
        <v>1.052631579</v>
      </c>
      <c r="D12" s="48">
        <f t="shared" si="2"/>
        <v>1.107197127</v>
      </c>
      <c r="E12" s="48">
        <f>'Página11'!E12/'Página11'!$F12</f>
        <v>1.052631579</v>
      </c>
      <c r="F12" s="48">
        <f>'Página11'!F12/'Página11'!$F12</f>
        <v>1</v>
      </c>
      <c r="G12" s="48">
        <f t="shared" si="3"/>
        <v>1.37780269</v>
      </c>
      <c r="H12" s="48">
        <f>'Página11'!H12/'Página11'!$K12</f>
        <v>1.047976065</v>
      </c>
      <c r="I12" s="48">
        <f t="shared" si="4"/>
        <v>1.107800223</v>
      </c>
      <c r="J12" s="48">
        <f>'Página11'!J12/'Página11'!$K12</f>
        <v>1.047976065</v>
      </c>
      <c r="K12" s="48">
        <f>'Página11'!K12/'Página11'!$K12</f>
        <v>1</v>
      </c>
      <c r="L12" s="48">
        <f>'Página11'!L12/'Página11'!$F12</f>
        <v>0.9975896677</v>
      </c>
      <c r="M12" s="48">
        <f>'Página11'!M12/'Página11'!$F12</f>
        <v>0.3505413109</v>
      </c>
      <c r="N12" s="48">
        <f>'Página11'!N12/'Página11'!$F12</f>
        <v>0.9975867447</v>
      </c>
      <c r="O12" s="48">
        <f>'Página11'!O12/'Página11'!$F12</f>
        <v>0.1096103826</v>
      </c>
      <c r="P12" s="48">
        <f>'Página11'!P12/'Página11'!$K12</f>
        <v>0.9978026901</v>
      </c>
      <c r="Q12" s="48">
        <f>'Página11'!Q12/'Página11'!$K12</f>
        <v>0.3944878565</v>
      </c>
      <c r="R12" s="48">
        <f>'Página11'!R12/'Página11'!$K12</f>
        <v>0.997800223</v>
      </c>
      <c r="S12" s="48">
        <f>'Página11'!S12/'Página11'!$K12</f>
        <v>0.1233519803</v>
      </c>
    </row>
    <row r="13">
      <c r="A13" s="34">
        <v>44562.0</v>
      </c>
      <c r="B13" s="48">
        <f t="shared" si="1"/>
        <v>1.429696083</v>
      </c>
      <c r="C13" s="48">
        <f>'Página11'!C13/'Página11'!$F13</f>
        <v>1.052631579</v>
      </c>
      <c r="D13" s="48">
        <f t="shared" si="2"/>
        <v>1.107197127</v>
      </c>
      <c r="E13" s="48">
        <f>'Página11'!E13/'Página11'!$F13</f>
        <v>1.052631579</v>
      </c>
      <c r="F13" s="48">
        <f>'Página11'!F13/'Página11'!$F13</f>
        <v>1</v>
      </c>
      <c r="G13" s="48">
        <f t="shared" si="3"/>
        <v>1.467811804</v>
      </c>
      <c r="H13" s="48">
        <f>'Página11'!H13/'Página11'!$K13</f>
        <v>1.047786006</v>
      </c>
      <c r="I13" s="48">
        <f t="shared" si="4"/>
        <v>1.107808937</v>
      </c>
      <c r="J13" s="48">
        <f>'Página11'!J13/'Página11'!$K13</f>
        <v>1.047786006</v>
      </c>
      <c r="K13" s="48">
        <f>'Página11'!K13/'Página11'!$K13</f>
        <v>1</v>
      </c>
      <c r="L13" s="48">
        <f>'Página11'!L13/'Página11'!$F13</f>
        <v>0.9975896677</v>
      </c>
      <c r="M13" s="48">
        <f>'Página11'!M13/'Página11'!$F13</f>
        <v>0.4321064156</v>
      </c>
      <c r="N13" s="48">
        <f>'Página11'!N13/'Página11'!$F13</f>
        <v>0.9975867447</v>
      </c>
      <c r="O13" s="48">
        <f>'Página11'!O13/'Página11'!$F13</f>
        <v>0.1096103826</v>
      </c>
      <c r="P13" s="48">
        <f>'Página11'!P13/'Página11'!$K13</f>
        <v>0.9978118043</v>
      </c>
      <c r="Q13" s="48">
        <f>'Página11'!Q13/'Página11'!$K13</f>
        <v>0.4843521842</v>
      </c>
      <c r="R13" s="48">
        <f>'Página11'!R13/'Página11'!$K13</f>
        <v>0.9978089375</v>
      </c>
      <c r="S13" s="48">
        <f>'Página11'!S13/'Página11'!$K13</f>
        <v>0.1228633186</v>
      </c>
    </row>
    <row r="14">
      <c r="A14" s="34">
        <v>44927.0</v>
      </c>
      <c r="B14" s="48">
        <f t="shared" si="1"/>
        <v>1.435565354</v>
      </c>
      <c r="C14" s="48">
        <f>'Página11'!C14/'Página11'!$F14</f>
        <v>1.052631579</v>
      </c>
      <c r="D14" s="48">
        <f t="shared" si="2"/>
        <v>1.107197127</v>
      </c>
      <c r="E14" s="48">
        <f>'Página11'!E14/'Página11'!$F14</f>
        <v>1.052631579</v>
      </c>
      <c r="F14" s="48">
        <f>'Página11'!F14/'Página11'!$F14</f>
        <v>1</v>
      </c>
      <c r="G14" s="48">
        <f t="shared" si="3"/>
        <v>1.477817387</v>
      </c>
      <c r="H14" s="48">
        <f>'Página11'!H14/'Página11'!$K14</f>
        <v>1.047664081</v>
      </c>
      <c r="I14" s="48">
        <f t="shared" si="4"/>
        <v>1.107814528</v>
      </c>
      <c r="J14" s="48">
        <f>'Página11'!J14/'Página11'!$K14</f>
        <v>1.047664081</v>
      </c>
      <c r="K14" s="48">
        <f>'Página11'!K14/'Página11'!$K14</f>
        <v>1</v>
      </c>
      <c r="L14" s="48">
        <f>'Página11'!L14/'Página11'!$F14</f>
        <v>0.9975896677</v>
      </c>
      <c r="M14" s="48">
        <f>'Página11'!M14/'Página11'!$F14</f>
        <v>0.4379756862</v>
      </c>
      <c r="N14" s="48">
        <f>'Página11'!N14/'Página11'!$F14</f>
        <v>0.9975867447</v>
      </c>
      <c r="O14" s="48">
        <f>'Página11'!O14/'Página11'!$F14</f>
        <v>0.1096103826</v>
      </c>
      <c r="P14" s="48">
        <f>'Página11'!P14/'Página11'!$K14</f>
        <v>0.9978173874</v>
      </c>
      <c r="Q14" s="48">
        <f>'Página11'!Q14/'Página11'!$K14</f>
        <v>0.4896785008</v>
      </c>
      <c r="R14" s="48">
        <f>'Página11'!R14/'Página11'!$K14</f>
        <v>0.997814528</v>
      </c>
      <c r="S14" s="48">
        <f>'Página11'!S14/'Página11'!$K14</f>
        <v>0.1225498344</v>
      </c>
    </row>
    <row r="15">
      <c r="A15" s="34">
        <v>44958.0</v>
      </c>
      <c r="B15" s="48">
        <f t="shared" si="1"/>
        <v>1.435651946</v>
      </c>
      <c r="C15" s="48">
        <f>'Página11'!C15/'Página11'!$F15</f>
        <v>1.052631579</v>
      </c>
      <c r="D15" s="48">
        <f t="shared" si="2"/>
        <v>1.107197127</v>
      </c>
      <c r="E15" s="48">
        <f>'Página11'!E15/'Página11'!$F15</f>
        <v>1.052631579</v>
      </c>
      <c r="F15" s="48">
        <f>'Página11'!F15/'Página11'!$F15</f>
        <v>1</v>
      </c>
      <c r="G15" s="48">
        <f t="shared" si="3"/>
        <v>1.477817387</v>
      </c>
      <c r="H15" s="48">
        <f>'Página11'!H15/'Página11'!$K15</f>
        <v>1.047664081</v>
      </c>
      <c r="I15" s="48">
        <f t="shared" si="4"/>
        <v>1.107814528</v>
      </c>
      <c r="J15" s="48">
        <f>'Página11'!J15/'Página11'!$K15</f>
        <v>1.047664081</v>
      </c>
      <c r="K15" s="48">
        <f>'Página11'!K15/'Página11'!$K15</f>
        <v>1</v>
      </c>
      <c r="L15" s="48">
        <f>'Página11'!L15/'Página11'!$F15</f>
        <v>0.9975896677</v>
      </c>
      <c r="M15" s="48">
        <f>'Página11'!M15/'Página11'!$F15</f>
        <v>0.4380622784</v>
      </c>
      <c r="N15" s="48">
        <f>'Página11'!N15/'Página11'!$F15</f>
        <v>0.9975867447</v>
      </c>
      <c r="O15" s="48">
        <f>'Página11'!O15/'Página11'!$F15</f>
        <v>0.1096103826</v>
      </c>
      <c r="P15" s="48">
        <f>'Página11'!P15/'Página11'!$K15</f>
        <v>0.9978173874</v>
      </c>
      <c r="Q15" s="48">
        <f>'Página11'!Q15/'Página11'!$K15</f>
        <v>0.4897753152</v>
      </c>
      <c r="R15" s="48">
        <f>'Página11'!R15/'Página11'!$K15</f>
        <v>0.997814528</v>
      </c>
      <c r="S15" s="48">
        <f>'Página11'!S15/'Página11'!$K15</f>
        <v>0.1225498344</v>
      </c>
    </row>
    <row r="16">
      <c r="A16" s="34">
        <v>45017.0</v>
      </c>
      <c r="B16" s="48">
        <f t="shared" si="1"/>
        <v>1.512715718</v>
      </c>
      <c r="C16" s="48">
        <f>'Página11'!C16/'Página11'!$F16</f>
        <v>1.052631579</v>
      </c>
      <c r="D16" s="48">
        <f t="shared" si="2"/>
        <v>1.107197127</v>
      </c>
      <c r="E16" s="48">
        <f>'Página11'!E16/'Página11'!$F16</f>
        <v>1.052631579</v>
      </c>
      <c r="F16" s="48">
        <f>'Página11'!F16/'Página11'!$F16</f>
        <v>1</v>
      </c>
      <c r="G16" s="48">
        <f t="shared" si="3"/>
        <v>1.557817387</v>
      </c>
      <c r="H16" s="48">
        <f>'Página11'!H16/'Página11'!$K16</f>
        <v>1.047664081</v>
      </c>
      <c r="I16" s="48">
        <f t="shared" si="4"/>
        <v>1.107814528</v>
      </c>
      <c r="J16" s="48">
        <f>'Página11'!J16/'Página11'!$K16</f>
        <v>1.047664081</v>
      </c>
      <c r="K16" s="48">
        <f>'Página11'!K16/'Página11'!$K16</f>
        <v>1</v>
      </c>
      <c r="L16" s="48">
        <f>'Página11'!L16/'Página11'!$F16</f>
        <v>0.9975896677</v>
      </c>
      <c r="M16" s="48">
        <f>'Página11'!M16/'Página11'!$F16</f>
        <v>0.5151260501</v>
      </c>
      <c r="N16" s="48">
        <f>'Página11'!N16/'Página11'!$F16</f>
        <v>0.9975867447</v>
      </c>
      <c r="O16" s="48">
        <f>'Página11'!O16/'Página11'!$F16</f>
        <v>0.1096103826</v>
      </c>
      <c r="P16" s="48">
        <f>'Página11'!P16/'Página11'!$K16</f>
        <v>0.9978173874</v>
      </c>
      <c r="Q16" s="48">
        <f>'Página11'!Q16/'Página11'!$K16</f>
        <v>0.5759364272</v>
      </c>
      <c r="R16" s="48">
        <f>'Página11'!R16/'Página11'!$K16</f>
        <v>0.997814528</v>
      </c>
      <c r="S16" s="48">
        <f>'Página11'!S16/'Página11'!$K16</f>
        <v>0.1225498344</v>
      </c>
    </row>
    <row r="17">
      <c r="A17" s="34">
        <v>45047.0</v>
      </c>
      <c r="B17" s="48">
        <f t="shared" si="1"/>
        <v>1.396138631</v>
      </c>
      <c r="C17" s="48">
        <f>'Página11'!C17/'Página11'!$F17</f>
        <v>1.052631579</v>
      </c>
      <c r="D17" s="48">
        <f t="shared" si="2"/>
        <v>1.098146881</v>
      </c>
      <c r="E17" s="48">
        <f>'Página11'!E17/'Página11'!$F17</f>
        <v>1.052631579</v>
      </c>
      <c r="F17" s="48">
        <f>'Página11'!F17/'Página11'!$F17</f>
        <v>1</v>
      </c>
      <c r="G17" s="48">
        <f t="shared" si="3"/>
        <v>1.437801628</v>
      </c>
      <c r="H17" s="48">
        <f>'Página11'!H17/'Página11'!$K17</f>
        <v>1.047999047</v>
      </c>
      <c r="I17" s="48">
        <f t="shared" si="4"/>
        <v>1.097799363</v>
      </c>
      <c r="J17" s="48">
        <f>'Página11'!J17/'Página11'!$K17</f>
        <v>1.047999047</v>
      </c>
      <c r="K17" s="48">
        <f>'Página11'!K17/'Página11'!$K17</f>
        <v>1</v>
      </c>
      <c r="L17" s="48">
        <f>'Página11'!L17/'Página11'!$F17</f>
        <v>0.9975895772</v>
      </c>
      <c r="M17" s="48">
        <f>'Página11'!M17/'Página11'!$F17</f>
        <v>0.3985490535</v>
      </c>
      <c r="N17" s="48">
        <f>'Página11'!N17/'Página11'!$F17</f>
        <v>0.9975868956</v>
      </c>
      <c r="O17" s="48">
        <f>'Página11'!O17/'Página11'!$F17</f>
        <v>0.100559985</v>
      </c>
      <c r="P17" s="48">
        <f>'Página11'!P17/'Página11'!$K17</f>
        <v>0.9978016275</v>
      </c>
      <c r="Q17" s="48">
        <f>'Página11'!Q17/'Página11'!$K17</f>
        <v>0.4487280191</v>
      </c>
      <c r="R17" s="48">
        <f>'Página11'!R17/'Página11'!$K17</f>
        <v>0.9977993631</v>
      </c>
      <c r="S17" s="48">
        <f>'Página11'!S17/'Página11'!$K17</f>
        <v>0.1132209009</v>
      </c>
    </row>
    <row r="18">
      <c r="A18" s="34">
        <v>45292.0</v>
      </c>
      <c r="B18" s="48">
        <f t="shared" si="1"/>
        <v>1.396138631</v>
      </c>
      <c r="C18" s="48">
        <f>'Página11'!C18/'Página11'!$F18</f>
        <v>1.052631579</v>
      </c>
      <c r="D18" s="48">
        <f t="shared" si="2"/>
        <v>1.098146881</v>
      </c>
      <c r="E18" s="48">
        <f>'Página11'!E18/'Página11'!$F18</f>
        <v>1.052631579</v>
      </c>
      <c r="F18" s="48">
        <f>'Página11'!F18/'Página11'!$F18</f>
        <v>1</v>
      </c>
      <c r="G18" s="48">
        <f t="shared" si="3"/>
        <v>1.4378051</v>
      </c>
      <c r="H18" s="48">
        <f>'Página11'!H18/'Página11'!$K18</f>
        <v>1.047923229</v>
      </c>
      <c r="I18" s="48">
        <f t="shared" si="4"/>
        <v>1.097802839</v>
      </c>
      <c r="J18" s="48">
        <f>'Página11'!J18/'Página11'!$K18</f>
        <v>1.047923229</v>
      </c>
      <c r="K18" s="48">
        <f>'Página11'!K18/'Página11'!$K18</f>
        <v>1</v>
      </c>
      <c r="L18" s="48">
        <f>'Página11'!L18/'Página11'!$F18</f>
        <v>0.9975895772</v>
      </c>
      <c r="M18" s="48">
        <f>'Página11'!M18/'Página11'!$F18</f>
        <v>0.3985490535</v>
      </c>
      <c r="N18" s="48">
        <f>'Página11'!N18/'Página11'!$F18</f>
        <v>0.9975868956</v>
      </c>
      <c r="O18" s="48">
        <f>'Página11'!O18/'Página11'!$F18</f>
        <v>0.100559985</v>
      </c>
      <c r="P18" s="48">
        <f>'Página11'!P18/'Página11'!$K18</f>
        <v>0.9978051</v>
      </c>
      <c r="Q18" s="48">
        <f>'Página11'!Q18/'Página11'!$K18</f>
        <v>0.4480192199</v>
      </c>
      <c r="R18" s="48">
        <f>'Página11'!R18/'Página11'!$K18</f>
        <v>0.9978028392</v>
      </c>
      <c r="S18" s="48">
        <f>'Página11'!S18/'Página11'!$K18</f>
        <v>0.1130420601</v>
      </c>
    </row>
    <row r="19">
      <c r="A19" s="34">
        <v>45323.0</v>
      </c>
      <c r="B19" s="48">
        <f t="shared" si="1"/>
        <v>1.475165371</v>
      </c>
      <c r="C19" s="48">
        <f>'Página11'!C19/'Página11'!$F19</f>
        <v>1.052631579</v>
      </c>
      <c r="D19" s="48">
        <f t="shared" si="2"/>
        <v>1.148426873</v>
      </c>
      <c r="E19" s="48">
        <f>'Página11'!E19/'Página11'!$F19</f>
        <v>1.052631579</v>
      </c>
      <c r="F19" s="48">
        <f>'Página11'!F19/'Página11'!$F19</f>
        <v>1</v>
      </c>
      <c r="G19" s="48">
        <f t="shared" si="3"/>
        <v>1.517806359</v>
      </c>
      <c r="H19" s="48">
        <f>'Página11'!H19/'Página11'!$K19</f>
        <v>1.047895748</v>
      </c>
      <c r="I19" s="48">
        <f t="shared" si="4"/>
        <v>1.147804099</v>
      </c>
      <c r="J19" s="48">
        <f>'Página11'!J19/'Página11'!$K19</f>
        <v>1.047895748</v>
      </c>
      <c r="K19" s="48">
        <f>'Página11'!K19/'Página11'!$K19</f>
        <v>1</v>
      </c>
      <c r="L19" s="48">
        <f>'Página11'!L19/'Página11'!$F19</f>
        <v>0.9975895772</v>
      </c>
      <c r="M19" s="48">
        <f>'Página11'!M19/'Página11'!$F19</f>
        <v>0.4775757937</v>
      </c>
      <c r="N19" s="48">
        <f>'Página11'!N19/'Página11'!$F19</f>
        <v>0.9975868956</v>
      </c>
      <c r="O19" s="48">
        <f>'Página11'!O19/'Página11'!$F19</f>
        <v>0.1508399776</v>
      </c>
      <c r="P19" s="48">
        <f>'Página11'!P19/'Página11'!$K19</f>
        <v>0.9978063587</v>
      </c>
      <c r="Q19" s="48">
        <f>'Página11'!Q19/'Página11'!$K19</f>
        <v>0.5365473435</v>
      </c>
      <c r="R19" s="48">
        <f>'Página11'!R19/'Página11'!$K19</f>
        <v>0.9978040991</v>
      </c>
      <c r="S19" s="48">
        <f>'Página11'!S19/'Página11'!$K19</f>
        <v>0.169465853</v>
      </c>
    </row>
    <row r="20">
      <c r="A20" s="34">
        <v>45505.0</v>
      </c>
      <c r="B20" s="48">
        <f t="shared" si="1"/>
        <v>1.475165371</v>
      </c>
      <c r="C20" s="48">
        <f>'Página11'!C20/'Página11'!$F20</f>
        <v>1.052631579</v>
      </c>
      <c r="D20" s="48">
        <f t="shared" si="2"/>
        <v>1.165186871</v>
      </c>
      <c r="E20" s="48">
        <f>'Página11'!E20/'Página11'!$F20</f>
        <v>1.052631579</v>
      </c>
      <c r="F20" s="48">
        <f>'Página11'!F20/'Página11'!$F20</f>
        <v>1</v>
      </c>
      <c r="G20" s="48">
        <f t="shared" si="3"/>
        <v>1.517806359</v>
      </c>
      <c r="H20" s="48">
        <f>'Página11'!H20/'Página11'!$K20</f>
        <v>1.047895748</v>
      </c>
      <c r="I20" s="48">
        <f t="shared" si="4"/>
        <v>1.167804099</v>
      </c>
      <c r="J20" s="48">
        <f>'Página11'!J20/'Página11'!$K20</f>
        <v>1.047895748</v>
      </c>
      <c r="K20" s="48">
        <f>'Página11'!K20/'Página11'!$K20</f>
        <v>1</v>
      </c>
      <c r="L20" s="48">
        <f>'Página11'!L20/'Página11'!$F20</f>
        <v>0.9975895772</v>
      </c>
      <c r="M20" s="48">
        <f>'Página11'!M20/'Página11'!$F20</f>
        <v>0.4775757937</v>
      </c>
      <c r="N20" s="48">
        <f>'Página11'!N20/'Página11'!$F20</f>
        <v>0.9975868956</v>
      </c>
      <c r="O20" s="48">
        <f>'Página11'!O20/'Página11'!$F20</f>
        <v>0.1675999751</v>
      </c>
      <c r="P20" s="48">
        <f>'Página11'!P20/'Página11'!$K20</f>
        <v>0.9978063587</v>
      </c>
      <c r="Q20" s="48">
        <f>'Página11'!Q20/'Página11'!$K20</f>
        <v>0.5365473435</v>
      </c>
      <c r="R20" s="48">
        <f>'Página11'!R20/'Página11'!$K20</f>
        <v>0.9978040991</v>
      </c>
      <c r="S20" s="48">
        <f>'Página11'!S20/'Página11'!$K20</f>
        <v>0.1882953922</v>
      </c>
    </row>
    <row r="21">
      <c r="A21" s="34">
        <v>45658.0</v>
      </c>
      <c r="B21" s="48">
        <f t="shared" si="1"/>
        <v>1.330121108</v>
      </c>
      <c r="C21" s="48">
        <f>'Página11'!C21/'Página11'!$F21</f>
        <v>1.052631579</v>
      </c>
      <c r="D21" s="48">
        <f t="shared" si="2"/>
        <v>1.050620956</v>
      </c>
      <c r="E21" s="48">
        <f>'Página11'!E21/'Página11'!$F21</f>
        <v>1.052631579</v>
      </c>
      <c r="F21" s="48">
        <f>'Página11'!F21/'Página11'!$F21</f>
        <v>1</v>
      </c>
      <c r="G21" s="48">
        <f t="shared" si="3"/>
        <v>1.387728856</v>
      </c>
      <c r="H21" s="48">
        <f>'Página11'!H21/'Página11'!$K21</f>
        <v>1.048323331</v>
      </c>
      <c r="I21" s="48">
        <f t="shared" si="4"/>
        <v>1.0577268</v>
      </c>
      <c r="J21" s="48">
        <f>'Página11'!J21/'Página11'!$K21</f>
        <v>1.048323331</v>
      </c>
      <c r="K21" s="48">
        <f>'Página11'!K21/'Página11'!$K21</f>
        <v>1</v>
      </c>
      <c r="L21" s="48">
        <f>'Página11'!L21/'Página11'!$F21</f>
        <v>0.8995025101</v>
      </c>
      <c r="M21" s="48">
        <f>'Página11'!M21/'Página11'!$F21</f>
        <v>0.4306185981</v>
      </c>
      <c r="N21" s="48">
        <f>'Página11'!N21/'Página11'!$F21</f>
        <v>0.8995000922</v>
      </c>
      <c r="O21" s="48">
        <f>'Página11'!O21/'Página11'!$F21</f>
        <v>0.1511208634</v>
      </c>
      <c r="P21" s="48">
        <f>'Página11'!P21/'Página11'!$K21</f>
        <v>0.9077288558</v>
      </c>
      <c r="Q21" s="48">
        <f>'Página11'!Q21/'Página11'!$K21</f>
        <v>0.488110245</v>
      </c>
      <c r="R21" s="48">
        <f>'Página11'!R21/'Página11'!$K21</f>
        <v>0.9077268003</v>
      </c>
      <c r="S21" s="48">
        <f>'Página11'!S21/'Página11'!$K21</f>
        <v>0.1712969249</v>
      </c>
    </row>
    <row r="22">
      <c r="A22" s="34">
        <v>45689.0</v>
      </c>
      <c r="B22" s="48">
        <f t="shared" si="1"/>
        <v>1.401379733</v>
      </c>
      <c r="C22" s="48">
        <f>'Página11'!C22/'Página11'!$F22</f>
        <v>1.052631579</v>
      </c>
      <c r="D22" s="48">
        <f t="shared" si="2"/>
        <v>1.111069301</v>
      </c>
      <c r="E22" s="48">
        <f>'Página11'!E22/'Página11'!$F22</f>
        <v>1.052631579</v>
      </c>
      <c r="F22" s="48">
        <f>'Página11'!F22/'Página11'!$F22</f>
        <v>1</v>
      </c>
      <c r="G22" s="48">
        <f t="shared" si="3"/>
        <v>1.457728856</v>
      </c>
      <c r="H22" s="48">
        <f>'Página11'!H22/'Página11'!$K22</f>
        <v>1.048323331</v>
      </c>
      <c r="I22" s="48">
        <f t="shared" si="4"/>
        <v>1.1277268</v>
      </c>
      <c r="J22" s="48">
        <f>'Página11'!J22/'Página11'!$K22</f>
        <v>1.048323331</v>
      </c>
      <c r="K22" s="48">
        <f>'Página11'!K22/'Página11'!$K22</f>
        <v>1</v>
      </c>
      <c r="L22" s="48">
        <f>'Página11'!L22/'Página11'!$F22</f>
        <v>0.8995025101</v>
      </c>
      <c r="M22" s="48">
        <f>'Página11'!M22/'Página11'!$F22</f>
        <v>0.5018772234</v>
      </c>
      <c r="N22" s="48">
        <f>'Página11'!N22/'Página11'!$F22</f>
        <v>0.8995000922</v>
      </c>
      <c r="O22" s="48">
        <f>'Página11'!O22/'Página11'!$F22</f>
        <v>0.2115692088</v>
      </c>
      <c r="P22" s="48">
        <f>'Página11'!P22/'Página11'!$K22</f>
        <v>0.9077288558</v>
      </c>
      <c r="Q22" s="48">
        <f>'Página11'!Q22/'Página11'!$K22</f>
        <v>0.5688825692</v>
      </c>
      <c r="R22" s="48">
        <f>'Página11'!R22/'Página11'!$K22</f>
        <v>0.9077268003</v>
      </c>
      <c r="S22" s="48">
        <f>'Página11'!S22/'Página11'!$K22</f>
        <v>0.2398156949</v>
      </c>
    </row>
    <row r="23">
      <c r="A23" s="34">
        <v>45778.0</v>
      </c>
      <c r="B23" s="48">
        <f t="shared" si="1"/>
        <v>1.401379733</v>
      </c>
      <c r="C23" s="48">
        <f>'Página11'!C23/'Página11'!$F23</f>
        <v>1.052631579</v>
      </c>
      <c r="D23" s="48">
        <f t="shared" si="2"/>
        <v>1.111069301</v>
      </c>
      <c r="E23" s="48">
        <f>'Página11'!E23/'Página11'!$F23</f>
        <v>1.052631579</v>
      </c>
      <c r="F23" s="48">
        <f>'Página11'!F23/'Página11'!$F23</f>
        <v>1</v>
      </c>
      <c r="G23" s="48">
        <f t="shared" si="3"/>
        <v>1.457728856</v>
      </c>
      <c r="H23" s="48">
        <f>'Página11'!H23/'Página11'!$K23</f>
        <v>1.048323331</v>
      </c>
      <c r="I23" s="48">
        <f t="shared" si="4"/>
        <v>1.1277268</v>
      </c>
      <c r="J23" s="48">
        <f>'Página11'!J23/'Página11'!$K23</f>
        <v>1.048323331</v>
      </c>
      <c r="K23" s="48">
        <f>'Página11'!K23/'Página11'!$K23</f>
        <v>1</v>
      </c>
      <c r="L23" s="48">
        <f>'Página11'!L23/'Página11'!$F23</f>
        <v>0.8995025101</v>
      </c>
      <c r="M23" s="48">
        <f>'Página11'!M23/'Página11'!$F23</f>
        <v>0.5018772234</v>
      </c>
      <c r="N23" s="48">
        <f>'Página11'!N23/'Página11'!$F23</f>
        <v>0.8995000922</v>
      </c>
      <c r="O23" s="48">
        <f>'Página11'!O23/'Página11'!$F23</f>
        <v>0.2115692088</v>
      </c>
      <c r="P23" s="48">
        <f>'Página11'!P23/'Página11'!$K23</f>
        <v>0.9077288558</v>
      </c>
      <c r="Q23" s="48">
        <f>'Página11'!Q23/'Página11'!$K23</f>
        <v>0.5688825692</v>
      </c>
      <c r="R23" s="48">
        <f>'Página11'!R23/'Página11'!$K23</f>
        <v>0.9077268003</v>
      </c>
      <c r="S23" s="48">
        <f>'Página11'!S23/'Página11'!$K23</f>
        <v>0.2398156949</v>
      </c>
    </row>
    <row r="24">
      <c r="A24" s="34">
        <v>46054.0</v>
      </c>
      <c r="B24" s="48">
        <f t="shared" si="1"/>
        <v>1.401379733</v>
      </c>
      <c r="C24" s="48">
        <f>'Página11'!C24/'Página11'!$F24</f>
        <v>1.052631579</v>
      </c>
      <c r="D24" s="48">
        <f t="shared" si="2"/>
        <v>1.111069301</v>
      </c>
      <c r="E24" s="48">
        <f>'Página11'!E24/'Página11'!$F24</f>
        <v>1.052631579</v>
      </c>
      <c r="F24" s="48">
        <f>'Página11'!F24/'Página11'!$F24</f>
        <v>1</v>
      </c>
      <c r="G24" s="48">
        <f t="shared" si="3"/>
        <v>1.457728856</v>
      </c>
      <c r="H24" s="48">
        <f>'Página11'!H24/'Página11'!$K24</f>
        <v>1.048323331</v>
      </c>
      <c r="I24" s="48">
        <f t="shared" si="4"/>
        <v>1.1277268</v>
      </c>
      <c r="J24" s="48">
        <f>'Página11'!J24/'Página11'!$K24</f>
        <v>1.048323331</v>
      </c>
      <c r="K24" s="48">
        <f>'Página11'!K24/'Página11'!$K24</f>
        <v>1</v>
      </c>
      <c r="L24" s="48">
        <f>'Página11'!L24/'Página11'!$F24</f>
        <v>0.8995025101</v>
      </c>
      <c r="M24" s="48">
        <f>'Página11'!M24/'Página11'!$F24</f>
        <v>0.5018772234</v>
      </c>
      <c r="N24" s="48">
        <f>'Página11'!N24/'Página11'!$F24</f>
        <v>0.8995000922</v>
      </c>
      <c r="O24" s="48">
        <f>'Página11'!O24/'Página11'!$F24</f>
        <v>0.2115692088</v>
      </c>
      <c r="P24" s="48">
        <f>'Página11'!P24/'Página11'!$K24</f>
        <v>0.9077288558</v>
      </c>
      <c r="Q24" s="48">
        <f>'Página11'!Q24/'Página11'!$K24</f>
        <v>0.5688825692</v>
      </c>
      <c r="R24" s="48">
        <f>'Página11'!R24/'Página11'!$K24</f>
        <v>0.9077268003</v>
      </c>
      <c r="S24" s="48">
        <f>'Página11'!S24/'Página11'!$K24</f>
        <v>0.2398156949</v>
      </c>
    </row>
    <row r="25">
      <c r="A25" s="34">
        <v>46113.0</v>
      </c>
      <c r="B25" s="48">
        <f t="shared" si="1"/>
        <v>1.263590505</v>
      </c>
      <c r="C25" s="48">
        <f>'Página11'!C25/'Página11'!$F25</f>
        <v>1.052631579</v>
      </c>
      <c r="D25" s="48">
        <f t="shared" si="2"/>
        <v>1.124460402</v>
      </c>
      <c r="E25" s="48">
        <f>'Página11'!E25/'Página11'!$F25</f>
        <v>1.052631579</v>
      </c>
      <c r="F25" s="48">
        <f>'Página11'!F25/'Página11'!$F25</f>
        <v>1</v>
      </c>
      <c r="G25" s="48">
        <f t="shared" si="3"/>
        <v>1.325118318</v>
      </c>
      <c r="H25" s="48">
        <f>'Página11'!H25/'Página11'!$K25</f>
        <v>1.048715383</v>
      </c>
      <c r="I25" s="48">
        <f t="shared" si="4"/>
        <v>1.145116449</v>
      </c>
      <c r="J25" s="48">
        <f>'Página11'!J25/'Página11'!$K25</f>
        <v>1.048715383</v>
      </c>
      <c r="K25" s="48">
        <f>'Página11'!K25/'Página11'!$K25</f>
        <v>1</v>
      </c>
      <c r="L25" s="48">
        <f>'Página11'!L25/'Página11'!$F25</f>
        <v>0.8110598463</v>
      </c>
      <c r="M25" s="48">
        <f>'Página11'!M25/'Página11'!$F25</f>
        <v>0.452530659</v>
      </c>
      <c r="N25" s="48">
        <f>'Página11'!N25/'Página11'!$F25</f>
        <v>0.8110576661</v>
      </c>
      <c r="O25" s="48">
        <f>'Página11'!O25/'Página11'!$F25</f>
        <v>0.3134027361</v>
      </c>
      <c r="P25" s="48">
        <f>'Página11'!P25/'Página11'!$K25</f>
        <v>0.8251183179</v>
      </c>
      <c r="Q25" s="48">
        <f>'Página11'!Q25/'Página11'!$K25</f>
        <v>0.5171097355</v>
      </c>
      <c r="R25" s="48">
        <f>'Página11'!R25/'Página11'!$K25</f>
        <v>0.8251164494</v>
      </c>
      <c r="S25" s="48">
        <f>'Página11'!S25/'Página11'!$K25</f>
        <v>0.3581273507</v>
      </c>
    </row>
    <row r="26">
      <c r="A26" s="34">
        <v>46143.0</v>
      </c>
      <c r="B26" s="48">
        <f t="shared" si="1"/>
        <v>1.263590505</v>
      </c>
      <c r="C26" s="48">
        <f>'Página11'!C26/'Página11'!$F26</f>
        <v>1.052631579</v>
      </c>
      <c r="D26" s="48">
        <f t="shared" si="2"/>
        <v>1.124460402</v>
      </c>
      <c r="E26" s="48">
        <f>'Página11'!E26/'Página11'!$F26</f>
        <v>1.052631579</v>
      </c>
      <c r="F26" s="48">
        <f>'Página11'!F26/'Página11'!$F26</f>
        <v>1</v>
      </c>
      <c r="G26" s="48">
        <f t="shared" si="3"/>
        <v>1.325118318</v>
      </c>
      <c r="H26" s="48">
        <f>'Página11'!H26/'Página11'!$K26</f>
        <v>1.048715383</v>
      </c>
      <c r="I26" s="48">
        <f t="shared" si="4"/>
        <v>1.145116449</v>
      </c>
      <c r="J26" s="48">
        <f>'Página11'!J26/'Página11'!$K26</f>
        <v>1.048715383</v>
      </c>
      <c r="K26" s="48">
        <f>'Página11'!K26/'Página11'!$K26</f>
        <v>1</v>
      </c>
      <c r="L26" s="48">
        <f>'Página11'!L26/'Página11'!$F26</f>
        <v>0.8110598463</v>
      </c>
      <c r="M26" s="48">
        <f>'Página11'!M26/'Página11'!$F26</f>
        <v>0.452530659</v>
      </c>
      <c r="N26" s="48">
        <f>'Página11'!N26/'Página11'!$F26</f>
        <v>0.8110576661</v>
      </c>
      <c r="O26" s="48">
        <f>'Página11'!O26/'Página11'!$F26</f>
        <v>0.3134027361</v>
      </c>
      <c r="P26" s="48">
        <f>'Página11'!P26/'Página11'!$K26</f>
        <v>0.8251183179</v>
      </c>
      <c r="Q26" s="48">
        <f>'Página11'!Q26/'Página11'!$K26</f>
        <v>0.5171097355</v>
      </c>
      <c r="R26" s="48">
        <f>'Página11'!R26/'Página11'!$K26</f>
        <v>0.8251164494</v>
      </c>
      <c r="S26" s="48">
        <f>'Página11'!S26/'Página11'!$K26</f>
        <v>0.3581273507</v>
      </c>
    </row>
    <row r="27">
      <c r="A27" s="34">
        <v>46419.0</v>
      </c>
      <c r="B27" s="48">
        <f t="shared" si="1"/>
        <v>1.263590505</v>
      </c>
      <c r="C27" s="48">
        <f>'Página11'!C27/'Página11'!$F27</f>
        <v>1.052631579</v>
      </c>
      <c r="D27" s="48">
        <f t="shared" si="2"/>
        <v>1.135429498</v>
      </c>
      <c r="E27" s="48">
        <f>'Página11'!E27/'Página11'!$F27</f>
        <v>1.052631579</v>
      </c>
      <c r="F27" s="48">
        <f>'Página11'!F27/'Página11'!$F27</f>
        <v>1</v>
      </c>
      <c r="G27" s="48">
        <f t="shared" si="3"/>
        <v>1.325118318</v>
      </c>
      <c r="H27" s="48">
        <f>'Página11'!H27/'Página11'!$K27</f>
        <v>1.048715383</v>
      </c>
      <c r="I27" s="48">
        <f t="shared" si="4"/>
        <v>1.155116449</v>
      </c>
      <c r="J27" s="48">
        <f>'Página11'!J27/'Página11'!$K27</f>
        <v>1.048715383</v>
      </c>
      <c r="K27" s="48">
        <f>'Página11'!K27/'Página11'!$K27</f>
        <v>1</v>
      </c>
      <c r="L27" s="48">
        <f>'Página11'!L27/'Página11'!$F27</f>
        <v>0.8110598463</v>
      </c>
      <c r="M27" s="48">
        <f>'Página11'!M27/'Página11'!$F27</f>
        <v>0.452530659</v>
      </c>
      <c r="N27" s="48">
        <f>'Página11'!N27/'Página11'!$F27</f>
        <v>0.8110576661</v>
      </c>
      <c r="O27" s="48">
        <f>'Página11'!O27/'Página11'!$F27</f>
        <v>0.3243718319</v>
      </c>
      <c r="P27" s="48">
        <f>'Página11'!P27/'Página11'!$K27</f>
        <v>0.8251183179</v>
      </c>
      <c r="Q27" s="48">
        <f>'Página11'!Q27/'Página11'!$K27</f>
        <v>0.5171097355</v>
      </c>
      <c r="R27" s="48">
        <f>'Página11'!R27/'Página11'!$K27</f>
        <v>0.8251164494</v>
      </c>
      <c r="S27" s="48">
        <f>'Página11'!S27/'Página11'!$K27</f>
        <v>0.370661808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9" width="12.0"/>
    <col customWidth="1" min="20" max="20" width="4.75"/>
    <col customWidth="1" min="21" max="21" width="2.88"/>
  </cols>
  <sheetData>
    <row r="1">
      <c r="A1" s="32" t="s">
        <v>9</v>
      </c>
      <c r="B1" s="33" t="str">
        <f>'Página22'!B1</f>
        <v>PGFN | Real (bruto)</v>
      </c>
      <c r="C1" s="33" t="str">
        <f>'Página22'!C1</f>
        <v>PGFN | Ideal (bruto)</v>
      </c>
      <c r="D1" s="33" t="str">
        <f>'Página22'!D1</f>
        <v>SERFB | Real (bruto)</v>
      </c>
      <c r="E1" s="33" t="str">
        <f>'Página22'!E1</f>
        <v>SERFB | Ideal (bruto)</v>
      </c>
      <c r="F1" s="33" t="str">
        <f>'Página22'!F1</f>
        <v>STN (bruto)</v>
      </c>
      <c r="G1" s="33" t="str">
        <f>'Página22'!G1</f>
        <v>PGFN | Real (líquido)</v>
      </c>
      <c r="H1" s="33" t="str">
        <f>'Página22'!H1</f>
        <v>PGFN | Ideal (líquido)</v>
      </c>
      <c r="I1" s="33" t="str">
        <f>'Página22'!I1</f>
        <v>SERFB | Real (líquido)</v>
      </c>
      <c r="J1" s="33" t="str">
        <f>'Página22'!J1</f>
        <v>SERFB | Ideal (líquido)</v>
      </c>
      <c r="K1" s="33" t="str">
        <f>'Página22'!K1</f>
        <v>STN (líquido)</v>
      </c>
      <c r="L1" s="33" t="str">
        <f>'Página22'!L1</f>
        <v>PGFN: subsídio (bruto)</v>
      </c>
      <c r="M1" s="33" t="str">
        <f>'Página22'!M1</f>
        <v>PGFN: HA (bruto)</v>
      </c>
      <c r="N1" s="33" t="str">
        <f>'Página22'!N1</f>
        <v>SERFB: VB (bruto)</v>
      </c>
      <c r="O1" s="33" t="str">
        <f>'Página22'!O1</f>
        <v>SERFB: BEP (bruto)</v>
      </c>
      <c r="P1" s="33" t="str">
        <f>'Página22'!P1</f>
        <v>PGFN: subsídio (líquido)</v>
      </c>
      <c r="Q1" s="33" t="str">
        <f>'Página22'!Q1</f>
        <v>PGFN: HA (líquido)</v>
      </c>
      <c r="R1" s="33" t="str">
        <f>'Página22'!R1</f>
        <v>SERFB: VB (líquido)</v>
      </c>
      <c r="S1" s="33" t="str">
        <f>'Página22'!S1</f>
        <v>SERFB: BEP (líquido)</v>
      </c>
      <c r="T1" s="32"/>
      <c r="U1" s="32"/>
    </row>
    <row r="2">
      <c r="A2" s="34">
        <v>42370.0</v>
      </c>
      <c r="B2" s="48">
        <f t="shared" ref="B2:B73" si="1">IF(MONTH($A2)=12,2.333,1)*(L2+(M2/13.33333)*12)</f>
        <v>1.052631234</v>
      </c>
      <c r="C2" s="48">
        <f>IF(MONTH($A2)=12,2.333,1)*VLOOKUP($A2,'Página22'!$A$1:$S$27,COLUMN(),TRUE)</f>
        <v>1.052631579</v>
      </c>
      <c r="D2" s="48">
        <f t="shared" ref="D2:D145" si="2">IF(MONTH($A2)=12,2.333,1)*(N2+(O2/13.33333)*12)</f>
        <v>1.05262843</v>
      </c>
      <c r="E2" s="48">
        <f>IF(MONTH($A2)=12,2.333,1)*VLOOKUP($A2,'Página22'!$A$1:$S$27,COLUMN(),TRUE)</f>
        <v>1.052631579</v>
      </c>
      <c r="F2" s="48">
        <f>IF(MONTH($A2)=12,2.333,1)*VLOOKUP($A2,'Página22'!$A$1:$S$27,COLUMN(),TRUE)</f>
        <v>1</v>
      </c>
      <c r="G2" s="48">
        <f t="shared" ref="G2:G73" si="3">IF(MONTH($A2)=12,2.333,1)*(P2+(Q2/13.33333)*12)</f>
        <v>1.049512785</v>
      </c>
      <c r="H2" s="48">
        <f>IF(MONTH($A2)=12,2.333,1)*VLOOKUP($A2,'Página22'!$A$1:$S$27,COLUMN(),TRUE)</f>
        <v>1.049513149</v>
      </c>
      <c r="I2" s="48">
        <f t="shared" ref="I2:I145" si="4">IF(MONTH($A2)=12,2.333,1)*(R2+(S2/13.33333)*12)</f>
        <v>1.04950982</v>
      </c>
      <c r="J2" s="48">
        <f>IF(MONTH($A2)=12,2.333,1)*VLOOKUP($A2,'Página22'!$A$1:$S$27,COLUMN(),TRUE)</f>
        <v>1.049513149</v>
      </c>
      <c r="K2" s="48">
        <f>IF(MONTH($A2)=12,2.333,1)*VLOOKUP($A2,'Página22'!$A$1:$S$27,COLUMN(),TRUE)</f>
        <v>1</v>
      </c>
      <c r="L2" s="48">
        <f>VLOOKUP($A2,'Página22'!$A$1:$S$27,COLUMN(),TRUE)</f>
        <v>1.052631234</v>
      </c>
      <c r="M2" s="48">
        <f>VLOOKUP($A2,'Página22'!$A$1:$S$27,COLUMN(),TRUE)</f>
        <v>0</v>
      </c>
      <c r="N2" s="48">
        <f>VLOOKUP($A2,'Página22'!$A$1:$S$27,COLUMN(),TRUE)</f>
        <v>1.05262843</v>
      </c>
      <c r="O2" s="48">
        <f>VLOOKUP($A2,'Página22'!$A$1:$S$27,COLUMN(),TRUE)</f>
        <v>0</v>
      </c>
      <c r="P2" s="48">
        <f>VLOOKUP($A2,'Página22'!$A$1:$S$27,COLUMN(),TRUE)</f>
        <v>1.049512785</v>
      </c>
      <c r="Q2" s="48">
        <f>VLOOKUP($A2,'Página22'!$A$1:$S$27,COLUMN(),TRUE)</f>
        <v>0</v>
      </c>
      <c r="R2" s="48">
        <f>VLOOKUP($A2,'Página22'!$A$1:$S$27,COLUMN(),TRUE)</f>
        <v>1.04950982</v>
      </c>
      <c r="S2" s="48">
        <f>VLOOKUP($A2,'Página22'!$A$1:$S$27,COLUMN(),TRUE)</f>
        <v>0</v>
      </c>
      <c r="T2" s="73">
        <f t="shared" ref="T2:T145" si="5">YEAR(A2)</f>
        <v>2016</v>
      </c>
      <c r="U2" s="73">
        <f t="shared" ref="U2:U145" si="6">MONTH(A2)</f>
        <v>1</v>
      </c>
    </row>
    <row r="3">
      <c r="A3" s="34">
        <v>42401.0</v>
      </c>
      <c r="B3" s="48">
        <f t="shared" si="1"/>
        <v>1.052631234</v>
      </c>
      <c r="C3" s="48">
        <f>IF(MONTH($A3)=12,2.333,1)*VLOOKUP($A3,'Página22'!$A$1:$S$27,COLUMN(),TRUE)</f>
        <v>1.052631579</v>
      </c>
      <c r="D3" s="48">
        <f t="shared" si="2"/>
        <v>1.05262843</v>
      </c>
      <c r="E3" s="48">
        <f>IF(MONTH($A3)=12,2.333,1)*VLOOKUP($A3,'Página22'!$A$1:$S$27,COLUMN(),TRUE)</f>
        <v>1.052631579</v>
      </c>
      <c r="F3" s="48">
        <f>IF(MONTH($A3)=12,2.333,1)*VLOOKUP($A3,'Página22'!$A$1:$S$27,COLUMN(),TRUE)</f>
        <v>1</v>
      </c>
      <c r="G3" s="48">
        <f t="shared" si="3"/>
        <v>1.049512785</v>
      </c>
      <c r="H3" s="48">
        <f>IF(MONTH($A3)=12,2.333,1)*VLOOKUP($A3,'Página22'!$A$1:$S$27,COLUMN(),TRUE)</f>
        <v>1.049513149</v>
      </c>
      <c r="I3" s="48">
        <f t="shared" si="4"/>
        <v>1.04950982</v>
      </c>
      <c r="J3" s="48">
        <f>IF(MONTH($A3)=12,2.333,1)*VLOOKUP($A3,'Página22'!$A$1:$S$27,COLUMN(),TRUE)</f>
        <v>1.049513149</v>
      </c>
      <c r="K3" s="48">
        <f>IF(MONTH($A3)=12,2.333,1)*VLOOKUP($A3,'Página22'!$A$1:$S$27,COLUMN(),TRUE)</f>
        <v>1</v>
      </c>
      <c r="L3" s="48">
        <f>VLOOKUP($A3,'Página22'!$A$1:$S$27,COLUMN(),TRUE)</f>
        <v>1.052631234</v>
      </c>
      <c r="M3" s="48">
        <f>VLOOKUP($A3,'Página22'!$A$1:$S$27,COLUMN(),TRUE)</f>
        <v>0</v>
      </c>
      <c r="N3" s="48">
        <f>VLOOKUP($A3,'Página22'!$A$1:$S$27,COLUMN(),TRUE)</f>
        <v>1.05262843</v>
      </c>
      <c r="O3" s="48">
        <f>VLOOKUP($A3,'Página22'!$A$1:$S$27,COLUMN(),TRUE)</f>
        <v>0</v>
      </c>
      <c r="P3" s="48">
        <f>VLOOKUP($A3,'Página22'!$A$1:$S$27,COLUMN(),TRUE)</f>
        <v>1.049512785</v>
      </c>
      <c r="Q3" s="48">
        <f>VLOOKUP($A3,'Página22'!$A$1:$S$27,COLUMN(),TRUE)</f>
        <v>0</v>
      </c>
      <c r="R3" s="48">
        <f>VLOOKUP($A3,'Página22'!$A$1:$S$27,COLUMN(),TRUE)</f>
        <v>1.04950982</v>
      </c>
      <c r="S3" s="48">
        <f>VLOOKUP($A3,'Página22'!$A$1:$S$27,COLUMN(),TRUE)</f>
        <v>0</v>
      </c>
      <c r="T3" s="73">
        <f t="shared" si="5"/>
        <v>2016</v>
      </c>
      <c r="U3" s="73">
        <f t="shared" si="6"/>
        <v>2</v>
      </c>
    </row>
    <row r="4">
      <c r="A4" s="34">
        <v>42430.0</v>
      </c>
      <c r="B4" s="48">
        <f t="shared" si="1"/>
        <v>1.052631234</v>
      </c>
      <c r="C4" s="48">
        <f>IF(MONTH($A4)=12,2.333,1)*VLOOKUP($A4,'Página22'!$A$1:$S$27,COLUMN(),TRUE)</f>
        <v>1.052631579</v>
      </c>
      <c r="D4" s="48">
        <f t="shared" si="2"/>
        <v>1.05262843</v>
      </c>
      <c r="E4" s="48">
        <f>IF(MONTH($A4)=12,2.333,1)*VLOOKUP($A4,'Página22'!$A$1:$S$27,COLUMN(),TRUE)</f>
        <v>1.052631579</v>
      </c>
      <c r="F4" s="48">
        <f>IF(MONTH($A4)=12,2.333,1)*VLOOKUP($A4,'Página22'!$A$1:$S$27,COLUMN(),TRUE)</f>
        <v>1</v>
      </c>
      <c r="G4" s="48">
        <f t="shared" si="3"/>
        <v>1.049512785</v>
      </c>
      <c r="H4" s="48">
        <f>IF(MONTH($A4)=12,2.333,1)*VLOOKUP($A4,'Página22'!$A$1:$S$27,COLUMN(),TRUE)</f>
        <v>1.049513149</v>
      </c>
      <c r="I4" s="48">
        <f t="shared" si="4"/>
        <v>1.04950982</v>
      </c>
      <c r="J4" s="48">
        <f>IF(MONTH($A4)=12,2.333,1)*VLOOKUP($A4,'Página22'!$A$1:$S$27,COLUMN(),TRUE)</f>
        <v>1.049513149</v>
      </c>
      <c r="K4" s="48">
        <f>IF(MONTH($A4)=12,2.333,1)*VLOOKUP($A4,'Página22'!$A$1:$S$27,COLUMN(),TRUE)</f>
        <v>1</v>
      </c>
      <c r="L4" s="48">
        <f>VLOOKUP($A4,'Página22'!$A$1:$S$27,COLUMN(),TRUE)</f>
        <v>1.052631234</v>
      </c>
      <c r="M4" s="48">
        <f>VLOOKUP($A4,'Página22'!$A$1:$S$27,COLUMN(),TRUE)</f>
        <v>0</v>
      </c>
      <c r="N4" s="48">
        <f>VLOOKUP($A4,'Página22'!$A$1:$S$27,COLUMN(),TRUE)</f>
        <v>1.05262843</v>
      </c>
      <c r="O4" s="48">
        <f>VLOOKUP($A4,'Página22'!$A$1:$S$27,COLUMN(),TRUE)</f>
        <v>0</v>
      </c>
      <c r="P4" s="48">
        <f>VLOOKUP($A4,'Página22'!$A$1:$S$27,COLUMN(),TRUE)</f>
        <v>1.049512785</v>
      </c>
      <c r="Q4" s="48">
        <f>VLOOKUP($A4,'Página22'!$A$1:$S$27,COLUMN(),TRUE)</f>
        <v>0</v>
      </c>
      <c r="R4" s="48">
        <f>VLOOKUP($A4,'Página22'!$A$1:$S$27,COLUMN(),TRUE)</f>
        <v>1.04950982</v>
      </c>
      <c r="S4" s="48">
        <f>VLOOKUP($A4,'Página22'!$A$1:$S$27,COLUMN(),TRUE)</f>
        <v>0</v>
      </c>
      <c r="T4" s="73">
        <f t="shared" si="5"/>
        <v>2016</v>
      </c>
      <c r="U4" s="73">
        <f t="shared" si="6"/>
        <v>3</v>
      </c>
    </row>
    <row r="5">
      <c r="A5" s="34">
        <v>42461.0</v>
      </c>
      <c r="B5" s="48">
        <f t="shared" si="1"/>
        <v>1.052631234</v>
      </c>
      <c r="C5" s="48">
        <f>IF(MONTH($A5)=12,2.333,1)*VLOOKUP($A5,'Página22'!$A$1:$S$27,COLUMN(),TRUE)</f>
        <v>1.052631579</v>
      </c>
      <c r="D5" s="48">
        <f t="shared" si="2"/>
        <v>1.05262843</v>
      </c>
      <c r="E5" s="48">
        <f>IF(MONTH($A5)=12,2.333,1)*VLOOKUP($A5,'Página22'!$A$1:$S$27,COLUMN(),TRUE)</f>
        <v>1.052631579</v>
      </c>
      <c r="F5" s="48">
        <f>IF(MONTH($A5)=12,2.333,1)*VLOOKUP($A5,'Página22'!$A$1:$S$27,COLUMN(),TRUE)</f>
        <v>1</v>
      </c>
      <c r="G5" s="48">
        <f t="shared" si="3"/>
        <v>1.049512785</v>
      </c>
      <c r="H5" s="48">
        <f>IF(MONTH($A5)=12,2.333,1)*VLOOKUP($A5,'Página22'!$A$1:$S$27,COLUMN(),TRUE)</f>
        <v>1.049513149</v>
      </c>
      <c r="I5" s="48">
        <f t="shared" si="4"/>
        <v>1.04950982</v>
      </c>
      <c r="J5" s="48">
        <f>IF(MONTH($A5)=12,2.333,1)*VLOOKUP($A5,'Página22'!$A$1:$S$27,COLUMN(),TRUE)</f>
        <v>1.049513149</v>
      </c>
      <c r="K5" s="48">
        <f>IF(MONTH($A5)=12,2.333,1)*VLOOKUP($A5,'Página22'!$A$1:$S$27,COLUMN(),TRUE)</f>
        <v>1</v>
      </c>
      <c r="L5" s="48">
        <f>VLOOKUP($A5,'Página22'!$A$1:$S$27,COLUMN(),TRUE)</f>
        <v>1.052631234</v>
      </c>
      <c r="M5" s="48">
        <f>VLOOKUP($A5,'Página22'!$A$1:$S$27,COLUMN(),TRUE)</f>
        <v>0</v>
      </c>
      <c r="N5" s="48">
        <f>VLOOKUP($A5,'Página22'!$A$1:$S$27,COLUMN(),TRUE)</f>
        <v>1.05262843</v>
      </c>
      <c r="O5" s="48">
        <f>VLOOKUP($A5,'Página22'!$A$1:$S$27,COLUMN(),TRUE)</f>
        <v>0</v>
      </c>
      <c r="P5" s="48">
        <f>VLOOKUP($A5,'Página22'!$A$1:$S$27,COLUMN(),TRUE)</f>
        <v>1.049512785</v>
      </c>
      <c r="Q5" s="48">
        <f>VLOOKUP($A5,'Página22'!$A$1:$S$27,COLUMN(),TRUE)</f>
        <v>0</v>
      </c>
      <c r="R5" s="48">
        <f>VLOOKUP($A5,'Página22'!$A$1:$S$27,COLUMN(),TRUE)</f>
        <v>1.04950982</v>
      </c>
      <c r="S5" s="48">
        <f>VLOOKUP($A5,'Página22'!$A$1:$S$27,COLUMN(),TRUE)</f>
        <v>0</v>
      </c>
      <c r="T5" s="73">
        <f t="shared" si="5"/>
        <v>2016</v>
      </c>
      <c r="U5" s="73">
        <f t="shared" si="6"/>
        <v>4</v>
      </c>
    </row>
    <row r="6">
      <c r="A6" s="34">
        <v>42491.0</v>
      </c>
      <c r="B6" s="48">
        <f t="shared" si="1"/>
        <v>1.052631234</v>
      </c>
      <c r="C6" s="48">
        <f>IF(MONTH($A6)=12,2.333,1)*VLOOKUP($A6,'Página22'!$A$1:$S$27,COLUMN(),TRUE)</f>
        <v>1.052631579</v>
      </c>
      <c r="D6" s="48">
        <f t="shared" si="2"/>
        <v>1.05262843</v>
      </c>
      <c r="E6" s="48">
        <f>IF(MONTH($A6)=12,2.333,1)*VLOOKUP($A6,'Página22'!$A$1:$S$27,COLUMN(),TRUE)</f>
        <v>1.052631579</v>
      </c>
      <c r="F6" s="48">
        <f>IF(MONTH($A6)=12,2.333,1)*VLOOKUP($A6,'Página22'!$A$1:$S$27,COLUMN(),TRUE)</f>
        <v>1</v>
      </c>
      <c r="G6" s="48">
        <f t="shared" si="3"/>
        <v>1.049512785</v>
      </c>
      <c r="H6" s="48">
        <f>IF(MONTH($A6)=12,2.333,1)*VLOOKUP($A6,'Página22'!$A$1:$S$27,COLUMN(),TRUE)</f>
        <v>1.049513149</v>
      </c>
      <c r="I6" s="48">
        <f t="shared" si="4"/>
        <v>1.04950982</v>
      </c>
      <c r="J6" s="48">
        <f>IF(MONTH($A6)=12,2.333,1)*VLOOKUP($A6,'Página22'!$A$1:$S$27,COLUMN(),TRUE)</f>
        <v>1.049513149</v>
      </c>
      <c r="K6" s="48">
        <f>IF(MONTH($A6)=12,2.333,1)*VLOOKUP($A6,'Página22'!$A$1:$S$27,COLUMN(),TRUE)</f>
        <v>1</v>
      </c>
      <c r="L6" s="48">
        <f>VLOOKUP($A6,'Página22'!$A$1:$S$27,COLUMN(),TRUE)</f>
        <v>1.052631234</v>
      </c>
      <c r="M6" s="48">
        <f>VLOOKUP($A6,'Página22'!$A$1:$S$27,COLUMN(),TRUE)</f>
        <v>0</v>
      </c>
      <c r="N6" s="48">
        <f>VLOOKUP($A6,'Página22'!$A$1:$S$27,COLUMN(),TRUE)</f>
        <v>1.05262843</v>
      </c>
      <c r="O6" s="48">
        <f>VLOOKUP($A6,'Página22'!$A$1:$S$27,COLUMN(),TRUE)</f>
        <v>0</v>
      </c>
      <c r="P6" s="48">
        <f>VLOOKUP($A6,'Página22'!$A$1:$S$27,COLUMN(),TRUE)</f>
        <v>1.049512785</v>
      </c>
      <c r="Q6" s="48">
        <f>VLOOKUP($A6,'Página22'!$A$1:$S$27,COLUMN(),TRUE)</f>
        <v>0</v>
      </c>
      <c r="R6" s="48">
        <f>VLOOKUP($A6,'Página22'!$A$1:$S$27,COLUMN(),TRUE)</f>
        <v>1.04950982</v>
      </c>
      <c r="S6" s="48">
        <f>VLOOKUP($A6,'Página22'!$A$1:$S$27,COLUMN(),TRUE)</f>
        <v>0</v>
      </c>
      <c r="T6" s="73">
        <f t="shared" si="5"/>
        <v>2016</v>
      </c>
      <c r="U6" s="73">
        <f t="shared" si="6"/>
        <v>5</v>
      </c>
    </row>
    <row r="7">
      <c r="A7" s="34">
        <v>42522.0</v>
      </c>
      <c r="B7" s="48">
        <f t="shared" si="1"/>
        <v>1.052631234</v>
      </c>
      <c r="C7" s="48">
        <f>IF(MONTH($A7)=12,2.333,1)*VLOOKUP($A7,'Página22'!$A$1:$S$27,COLUMN(),TRUE)</f>
        <v>1.052631579</v>
      </c>
      <c r="D7" s="48">
        <f t="shared" si="2"/>
        <v>1.05262843</v>
      </c>
      <c r="E7" s="48">
        <f>IF(MONTH($A7)=12,2.333,1)*VLOOKUP($A7,'Página22'!$A$1:$S$27,COLUMN(),TRUE)</f>
        <v>1.052631579</v>
      </c>
      <c r="F7" s="48">
        <f>IF(MONTH($A7)=12,2.333,1)*VLOOKUP($A7,'Página22'!$A$1:$S$27,COLUMN(),TRUE)</f>
        <v>1</v>
      </c>
      <c r="G7" s="48">
        <f t="shared" si="3"/>
        <v>1.049512785</v>
      </c>
      <c r="H7" s="48">
        <f>IF(MONTH($A7)=12,2.333,1)*VLOOKUP($A7,'Página22'!$A$1:$S$27,COLUMN(),TRUE)</f>
        <v>1.049513149</v>
      </c>
      <c r="I7" s="48">
        <f t="shared" si="4"/>
        <v>1.04950982</v>
      </c>
      <c r="J7" s="48">
        <f>IF(MONTH($A7)=12,2.333,1)*VLOOKUP($A7,'Página22'!$A$1:$S$27,COLUMN(),TRUE)</f>
        <v>1.049513149</v>
      </c>
      <c r="K7" s="48">
        <f>IF(MONTH($A7)=12,2.333,1)*VLOOKUP($A7,'Página22'!$A$1:$S$27,COLUMN(),TRUE)</f>
        <v>1</v>
      </c>
      <c r="L7" s="48">
        <f>VLOOKUP($A7,'Página22'!$A$1:$S$27,COLUMN(),TRUE)</f>
        <v>1.052631234</v>
      </c>
      <c r="M7" s="48">
        <f>VLOOKUP($A7,'Página22'!$A$1:$S$27,COLUMN(),TRUE)</f>
        <v>0</v>
      </c>
      <c r="N7" s="48">
        <f>VLOOKUP($A7,'Página22'!$A$1:$S$27,COLUMN(),TRUE)</f>
        <v>1.05262843</v>
      </c>
      <c r="O7" s="48">
        <f>VLOOKUP($A7,'Página22'!$A$1:$S$27,COLUMN(),TRUE)</f>
        <v>0</v>
      </c>
      <c r="P7" s="48">
        <f>VLOOKUP($A7,'Página22'!$A$1:$S$27,COLUMN(),TRUE)</f>
        <v>1.049512785</v>
      </c>
      <c r="Q7" s="48">
        <f>VLOOKUP($A7,'Página22'!$A$1:$S$27,COLUMN(),TRUE)</f>
        <v>0</v>
      </c>
      <c r="R7" s="48">
        <f>VLOOKUP($A7,'Página22'!$A$1:$S$27,COLUMN(),TRUE)</f>
        <v>1.04950982</v>
      </c>
      <c r="S7" s="48">
        <f>VLOOKUP($A7,'Página22'!$A$1:$S$27,COLUMN(),TRUE)</f>
        <v>0</v>
      </c>
      <c r="T7" s="73">
        <f t="shared" si="5"/>
        <v>2016</v>
      </c>
      <c r="U7" s="73">
        <f t="shared" si="6"/>
        <v>6</v>
      </c>
    </row>
    <row r="8">
      <c r="A8" s="34">
        <v>42552.0</v>
      </c>
      <c r="B8" s="48">
        <f t="shared" si="1"/>
        <v>1.052631234</v>
      </c>
      <c r="C8" s="48">
        <f>IF(MONTH($A8)=12,2.333,1)*VLOOKUP($A8,'Página22'!$A$1:$S$27,COLUMN(),TRUE)</f>
        <v>1.052631579</v>
      </c>
      <c r="D8" s="48">
        <f t="shared" si="2"/>
        <v>1.05262843</v>
      </c>
      <c r="E8" s="48">
        <f>IF(MONTH($A8)=12,2.333,1)*VLOOKUP($A8,'Página22'!$A$1:$S$27,COLUMN(),TRUE)</f>
        <v>1.052631579</v>
      </c>
      <c r="F8" s="48">
        <f>IF(MONTH($A8)=12,2.333,1)*VLOOKUP($A8,'Página22'!$A$1:$S$27,COLUMN(),TRUE)</f>
        <v>1</v>
      </c>
      <c r="G8" s="48">
        <f t="shared" si="3"/>
        <v>1.049512785</v>
      </c>
      <c r="H8" s="48">
        <f>IF(MONTH($A8)=12,2.333,1)*VLOOKUP($A8,'Página22'!$A$1:$S$27,COLUMN(),TRUE)</f>
        <v>1.049513149</v>
      </c>
      <c r="I8" s="48">
        <f t="shared" si="4"/>
        <v>1.04950982</v>
      </c>
      <c r="J8" s="48">
        <f>IF(MONTH($A8)=12,2.333,1)*VLOOKUP($A8,'Página22'!$A$1:$S$27,COLUMN(),TRUE)</f>
        <v>1.049513149</v>
      </c>
      <c r="K8" s="48">
        <f>IF(MONTH($A8)=12,2.333,1)*VLOOKUP($A8,'Página22'!$A$1:$S$27,COLUMN(),TRUE)</f>
        <v>1</v>
      </c>
      <c r="L8" s="48">
        <f>VLOOKUP($A8,'Página22'!$A$1:$S$27,COLUMN(),TRUE)</f>
        <v>1.052631234</v>
      </c>
      <c r="M8" s="48">
        <f>VLOOKUP($A8,'Página22'!$A$1:$S$27,COLUMN(),TRUE)</f>
        <v>0</v>
      </c>
      <c r="N8" s="48">
        <f>VLOOKUP($A8,'Página22'!$A$1:$S$27,COLUMN(),TRUE)</f>
        <v>1.05262843</v>
      </c>
      <c r="O8" s="48">
        <f>VLOOKUP($A8,'Página22'!$A$1:$S$27,COLUMN(),TRUE)</f>
        <v>0</v>
      </c>
      <c r="P8" s="48">
        <f>VLOOKUP($A8,'Página22'!$A$1:$S$27,COLUMN(),TRUE)</f>
        <v>1.049512785</v>
      </c>
      <c r="Q8" s="48">
        <f>VLOOKUP($A8,'Página22'!$A$1:$S$27,COLUMN(),TRUE)</f>
        <v>0</v>
      </c>
      <c r="R8" s="48">
        <f>VLOOKUP($A8,'Página22'!$A$1:$S$27,COLUMN(),TRUE)</f>
        <v>1.04950982</v>
      </c>
      <c r="S8" s="48">
        <f>VLOOKUP($A8,'Página22'!$A$1:$S$27,COLUMN(),TRUE)</f>
        <v>0</v>
      </c>
      <c r="T8" s="73">
        <f t="shared" si="5"/>
        <v>2016</v>
      </c>
      <c r="U8" s="73">
        <f t="shared" si="6"/>
        <v>7</v>
      </c>
    </row>
    <row r="9">
      <c r="A9" s="34">
        <v>42583.0</v>
      </c>
      <c r="B9" s="48">
        <f t="shared" si="1"/>
        <v>1.172271706</v>
      </c>
      <c r="C9" s="48">
        <f>IF(MONTH($A9)=12,2.333,1)*VLOOKUP($A9,'Página22'!$A$1:$S$27,COLUMN(),TRUE)</f>
        <v>1.052631579</v>
      </c>
      <c r="D9" s="48">
        <f t="shared" si="2"/>
        <v>0.9977520881</v>
      </c>
      <c r="E9" s="48">
        <f>IF(MONTH($A9)=12,2.333,1)*VLOOKUP($A9,'Página22'!$A$1:$S$27,COLUMN(),TRUE)</f>
        <v>1.052631579</v>
      </c>
      <c r="F9" s="48">
        <f>IF(MONTH($A9)=12,2.333,1)*VLOOKUP($A9,'Página22'!$A$1:$S$27,COLUMN(),TRUE)</f>
        <v>1</v>
      </c>
      <c r="G9" s="48">
        <f t="shared" si="3"/>
        <v>1.17652039</v>
      </c>
      <c r="H9" s="48">
        <f>IF(MONTH($A9)=12,2.333,1)*VLOOKUP($A9,'Página22'!$A$1:$S$27,COLUMN(),TRUE)</f>
        <v>1.049666636</v>
      </c>
      <c r="I9" s="48">
        <f t="shared" si="4"/>
        <v>0.9978787168</v>
      </c>
      <c r="J9" s="48">
        <f>IF(MONTH($A9)=12,2.333,1)*VLOOKUP($A9,'Página22'!$A$1:$S$27,COLUMN(),TRUE)</f>
        <v>1.049666636</v>
      </c>
      <c r="K9" s="48">
        <f>IF(MONTH($A9)=12,2.333,1)*VLOOKUP($A9,'Página22'!$A$1:$S$27,COLUMN(),TRUE)</f>
        <v>1</v>
      </c>
      <c r="L9" s="48">
        <f>VLOOKUP($A9,'Página22'!$A$1:$S$27,COLUMN(),TRUE)</f>
        <v>1.052631182</v>
      </c>
      <c r="M9" s="48">
        <f>VLOOKUP($A9,'Página22'!$A$1:$S$27,COLUMN(),TRUE)</f>
        <v>0.1329338818</v>
      </c>
      <c r="N9" s="48">
        <f>VLOOKUP($A9,'Página22'!$A$1:$S$27,COLUMN(),TRUE)</f>
        <v>0.9977520881</v>
      </c>
      <c r="O9" s="48">
        <f>VLOOKUP($A9,'Página22'!$A$1:$S$27,COLUMN(),TRUE)</f>
        <v>0</v>
      </c>
      <c r="P9" s="48">
        <f>VLOOKUP($A9,'Página22'!$A$1:$S$27,COLUMN(),TRUE)</f>
        <v>1.049666216</v>
      </c>
      <c r="Q9" s="48">
        <f>VLOOKUP($A9,'Página22'!$A$1:$S$27,COLUMN(),TRUE)</f>
        <v>0.1409490469</v>
      </c>
      <c r="R9" s="48">
        <f>VLOOKUP($A9,'Página22'!$A$1:$S$27,COLUMN(),TRUE)</f>
        <v>0.9978787168</v>
      </c>
      <c r="S9" s="48">
        <f>VLOOKUP($A9,'Página22'!$A$1:$S$27,COLUMN(),TRUE)</f>
        <v>0</v>
      </c>
      <c r="T9" s="73">
        <f t="shared" si="5"/>
        <v>2016</v>
      </c>
      <c r="U9" s="73">
        <f t="shared" si="6"/>
        <v>8</v>
      </c>
    </row>
    <row r="10">
      <c r="A10" s="34">
        <v>42614.0</v>
      </c>
      <c r="B10" s="48">
        <f t="shared" si="1"/>
        <v>1.172271706</v>
      </c>
      <c r="C10" s="48">
        <f>IF(MONTH($A10)=12,2.333,1)*VLOOKUP($A10,'Página22'!$A$1:$S$27,COLUMN(),TRUE)</f>
        <v>1.052631579</v>
      </c>
      <c r="D10" s="48">
        <f t="shared" si="2"/>
        <v>1.117392612</v>
      </c>
      <c r="E10" s="48">
        <f>IF(MONTH($A10)=12,2.333,1)*VLOOKUP($A10,'Página22'!$A$1:$S$27,COLUMN(),TRUE)</f>
        <v>1.052631579</v>
      </c>
      <c r="F10" s="48">
        <f>IF(MONTH($A10)=12,2.333,1)*VLOOKUP($A10,'Página22'!$A$1:$S$27,COLUMN(),TRUE)</f>
        <v>1</v>
      </c>
      <c r="G10" s="48">
        <f t="shared" si="3"/>
        <v>1.17652039</v>
      </c>
      <c r="H10" s="48">
        <f>IF(MONTH($A10)=12,2.333,1)*VLOOKUP($A10,'Página22'!$A$1:$S$27,COLUMN(),TRUE)</f>
        <v>1.049666636</v>
      </c>
      <c r="I10" s="48">
        <f t="shared" si="4"/>
        <v>1.124732891</v>
      </c>
      <c r="J10" s="48">
        <f>IF(MONTH($A10)=12,2.333,1)*VLOOKUP($A10,'Página22'!$A$1:$S$27,COLUMN(),TRUE)</f>
        <v>1.049666636</v>
      </c>
      <c r="K10" s="48">
        <f>IF(MONTH($A10)=12,2.333,1)*VLOOKUP($A10,'Página22'!$A$1:$S$27,COLUMN(),TRUE)</f>
        <v>1</v>
      </c>
      <c r="L10" s="48">
        <f>VLOOKUP($A10,'Página22'!$A$1:$S$27,COLUMN(),TRUE)</f>
        <v>1.052631182</v>
      </c>
      <c r="M10" s="48">
        <f>VLOOKUP($A10,'Página22'!$A$1:$S$27,COLUMN(),TRUE)</f>
        <v>0.1329338818</v>
      </c>
      <c r="N10" s="48">
        <f>VLOOKUP($A10,'Página22'!$A$1:$S$27,COLUMN(),TRUE)</f>
        <v>0.9977520881</v>
      </c>
      <c r="O10" s="48">
        <f>VLOOKUP($A10,'Página22'!$A$1:$S$27,COLUMN(),TRUE)</f>
        <v>0.1329338818</v>
      </c>
      <c r="P10" s="48">
        <f>VLOOKUP($A10,'Página22'!$A$1:$S$27,COLUMN(),TRUE)</f>
        <v>1.049666216</v>
      </c>
      <c r="Q10" s="48">
        <f>VLOOKUP($A10,'Página22'!$A$1:$S$27,COLUMN(),TRUE)</f>
        <v>0.1409490469</v>
      </c>
      <c r="R10" s="48">
        <f>VLOOKUP($A10,'Página22'!$A$1:$S$27,COLUMN(),TRUE)</f>
        <v>0.9978787168</v>
      </c>
      <c r="S10" s="48">
        <f>VLOOKUP($A10,'Página22'!$A$1:$S$27,COLUMN(),TRUE)</f>
        <v>0.1409490469</v>
      </c>
      <c r="T10" s="73">
        <f t="shared" si="5"/>
        <v>2016</v>
      </c>
      <c r="U10" s="73">
        <f t="shared" si="6"/>
        <v>9</v>
      </c>
    </row>
    <row r="11">
      <c r="A11" s="34">
        <v>42644.0</v>
      </c>
      <c r="B11" s="48">
        <f t="shared" si="1"/>
        <v>1.172271706</v>
      </c>
      <c r="C11" s="48">
        <f>IF(MONTH($A11)=12,2.333,1)*VLOOKUP($A11,'Página22'!$A$1:$S$27,COLUMN(),TRUE)</f>
        <v>1.052631579</v>
      </c>
      <c r="D11" s="48">
        <f t="shared" si="2"/>
        <v>1.117392612</v>
      </c>
      <c r="E11" s="48">
        <f>IF(MONTH($A11)=12,2.333,1)*VLOOKUP($A11,'Página22'!$A$1:$S$27,COLUMN(),TRUE)</f>
        <v>1.052631579</v>
      </c>
      <c r="F11" s="48">
        <f>IF(MONTH($A11)=12,2.333,1)*VLOOKUP($A11,'Página22'!$A$1:$S$27,COLUMN(),TRUE)</f>
        <v>1</v>
      </c>
      <c r="G11" s="48">
        <f t="shared" si="3"/>
        <v>1.17652039</v>
      </c>
      <c r="H11" s="48">
        <f>IF(MONTH($A11)=12,2.333,1)*VLOOKUP($A11,'Página22'!$A$1:$S$27,COLUMN(),TRUE)</f>
        <v>1.049666636</v>
      </c>
      <c r="I11" s="48">
        <f t="shared" si="4"/>
        <v>1.124732891</v>
      </c>
      <c r="J11" s="48">
        <f>IF(MONTH($A11)=12,2.333,1)*VLOOKUP($A11,'Página22'!$A$1:$S$27,COLUMN(),TRUE)</f>
        <v>1.049666636</v>
      </c>
      <c r="K11" s="48">
        <f>IF(MONTH($A11)=12,2.333,1)*VLOOKUP($A11,'Página22'!$A$1:$S$27,COLUMN(),TRUE)</f>
        <v>1</v>
      </c>
      <c r="L11" s="48">
        <f>VLOOKUP($A11,'Página22'!$A$1:$S$27,COLUMN(),TRUE)</f>
        <v>1.052631182</v>
      </c>
      <c r="M11" s="48">
        <f>VLOOKUP($A11,'Página22'!$A$1:$S$27,COLUMN(),TRUE)</f>
        <v>0.1329338818</v>
      </c>
      <c r="N11" s="48">
        <f>VLOOKUP($A11,'Página22'!$A$1:$S$27,COLUMN(),TRUE)</f>
        <v>0.9977520881</v>
      </c>
      <c r="O11" s="48">
        <f>VLOOKUP($A11,'Página22'!$A$1:$S$27,COLUMN(),TRUE)</f>
        <v>0.1329338818</v>
      </c>
      <c r="P11" s="48">
        <f>VLOOKUP($A11,'Página22'!$A$1:$S$27,COLUMN(),TRUE)</f>
        <v>1.049666216</v>
      </c>
      <c r="Q11" s="48">
        <f>VLOOKUP($A11,'Página22'!$A$1:$S$27,COLUMN(),TRUE)</f>
        <v>0.1409490469</v>
      </c>
      <c r="R11" s="48">
        <f>VLOOKUP($A11,'Página22'!$A$1:$S$27,COLUMN(),TRUE)</f>
        <v>0.9978787168</v>
      </c>
      <c r="S11" s="48">
        <f>VLOOKUP($A11,'Página22'!$A$1:$S$27,COLUMN(),TRUE)</f>
        <v>0.1409490469</v>
      </c>
      <c r="T11" s="73">
        <f t="shared" si="5"/>
        <v>2016</v>
      </c>
      <c r="U11" s="73">
        <f t="shared" si="6"/>
        <v>10</v>
      </c>
    </row>
    <row r="12">
      <c r="A12" s="34">
        <v>42675.0</v>
      </c>
      <c r="B12" s="48">
        <f t="shared" si="1"/>
        <v>1.172271706</v>
      </c>
      <c r="C12" s="48">
        <f>IF(MONTH($A12)=12,2.333,1)*VLOOKUP($A12,'Página22'!$A$1:$S$27,COLUMN(),TRUE)</f>
        <v>1.052631579</v>
      </c>
      <c r="D12" s="48">
        <f t="shared" si="2"/>
        <v>1.117392612</v>
      </c>
      <c r="E12" s="48">
        <f>IF(MONTH($A12)=12,2.333,1)*VLOOKUP($A12,'Página22'!$A$1:$S$27,COLUMN(),TRUE)</f>
        <v>1.052631579</v>
      </c>
      <c r="F12" s="48">
        <f>IF(MONTH($A12)=12,2.333,1)*VLOOKUP($A12,'Página22'!$A$1:$S$27,COLUMN(),TRUE)</f>
        <v>1</v>
      </c>
      <c r="G12" s="48">
        <f t="shared" si="3"/>
        <v>1.17652039</v>
      </c>
      <c r="H12" s="48">
        <f>IF(MONTH($A12)=12,2.333,1)*VLOOKUP($A12,'Página22'!$A$1:$S$27,COLUMN(),TRUE)</f>
        <v>1.049666636</v>
      </c>
      <c r="I12" s="48">
        <f t="shared" si="4"/>
        <v>1.124732891</v>
      </c>
      <c r="J12" s="48">
        <f>IF(MONTH($A12)=12,2.333,1)*VLOOKUP($A12,'Página22'!$A$1:$S$27,COLUMN(),TRUE)</f>
        <v>1.049666636</v>
      </c>
      <c r="K12" s="48">
        <f>IF(MONTH($A12)=12,2.333,1)*VLOOKUP($A12,'Página22'!$A$1:$S$27,COLUMN(),TRUE)</f>
        <v>1</v>
      </c>
      <c r="L12" s="48">
        <f>VLOOKUP($A12,'Página22'!$A$1:$S$27,COLUMN(),TRUE)</f>
        <v>1.052631182</v>
      </c>
      <c r="M12" s="48">
        <f>VLOOKUP($A12,'Página22'!$A$1:$S$27,COLUMN(),TRUE)</f>
        <v>0.1329338818</v>
      </c>
      <c r="N12" s="48">
        <f>VLOOKUP($A12,'Página22'!$A$1:$S$27,COLUMN(),TRUE)</f>
        <v>0.9977520881</v>
      </c>
      <c r="O12" s="48">
        <f>VLOOKUP($A12,'Página22'!$A$1:$S$27,COLUMN(),TRUE)</f>
        <v>0.1329338818</v>
      </c>
      <c r="P12" s="48">
        <f>VLOOKUP($A12,'Página22'!$A$1:$S$27,COLUMN(),TRUE)</f>
        <v>1.049666216</v>
      </c>
      <c r="Q12" s="48">
        <f>VLOOKUP($A12,'Página22'!$A$1:$S$27,COLUMN(),TRUE)</f>
        <v>0.1409490469</v>
      </c>
      <c r="R12" s="48">
        <f>VLOOKUP($A12,'Página22'!$A$1:$S$27,COLUMN(),TRUE)</f>
        <v>0.9978787168</v>
      </c>
      <c r="S12" s="48">
        <f>VLOOKUP($A12,'Página22'!$A$1:$S$27,COLUMN(),TRUE)</f>
        <v>0.1409490469</v>
      </c>
      <c r="T12" s="73">
        <f t="shared" si="5"/>
        <v>2016</v>
      </c>
      <c r="U12" s="73">
        <f t="shared" si="6"/>
        <v>11</v>
      </c>
    </row>
    <row r="13">
      <c r="A13" s="34">
        <v>42705.0</v>
      </c>
      <c r="B13" s="48">
        <f t="shared" si="1"/>
        <v>2.73490989</v>
      </c>
      <c r="C13" s="48">
        <f>IF(MONTH($A13)=12,2.333,1)*VLOOKUP($A13,'Página22'!$A$1:$S$27,COLUMN(),TRUE)</f>
        <v>2.455789474</v>
      </c>
      <c r="D13" s="48">
        <f t="shared" si="2"/>
        <v>2.606876963</v>
      </c>
      <c r="E13" s="48">
        <f>IF(MONTH($A13)=12,2.333,1)*VLOOKUP($A13,'Página22'!$A$1:$S$27,COLUMN(),TRUE)</f>
        <v>2.455789474</v>
      </c>
      <c r="F13" s="48">
        <f>IF(MONTH($A13)=12,2.333,1)*VLOOKUP($A13,'Página22'!$A$1:$S$27,COLUMN(),TRUE)</f>
        <v>2.333</v>
      </c>
      <c r="G13" s="48">
        <f t="shared" si="3"/>
        <v>2.744822069</v>
      </c>
      <c r="H13" s="48">
        <f>IF(MONTH($A13)=12,2.333,1)*VLOOKUP($A13,'Página22'!$A$1:$S$27,COLUMN(),TRUE)</f>
        <v>2.448872262</v>
      </c>
      <c r="I13" s="48">
        <f t="shared" si="4"/>
        <v>2.624001834</v>
      </c>
      <c r="J13" s="48">
        <f>IF(MONTH($A13)=12,2.333,1)*VLOOKUP($A13,'Página22'!$A$1:$S$27,COLUMN(),TRUE)</f>
        <v>2.448872262</v>
      </c>
      <c r="K13" s="48">
        <f>IF(MONTH($A13)=12,2.333,1)*VLOOKUP($A13,'Página22'!$A$1:$S$27,COLUMN(),TRUE)</f>
        <v>2.333</v>
      </c>
      <c r="L13" s="48">
        <f>VLOOKUP($A13,'Página22'!$A$1:$S$27,COLUMN(),TRUE)</f>
        <v>1.052631182</v>
      </c>
      <c r="M13" s="48">
        <f>VLOOKUP($A13,'Página22'!$A$1:$S$27,COLUMN(),TRUE)</f>
        <v>0.1329338818</v>
      </c>
      <c r="N13" s="48">
        <f>VLOOKUP($A13,'Página22'!$A$1:$S$27,COLUMN(),TRUE)</f>
        <v>0.9977520881</v>
      </c>
      <c r="O13" s="48">
        <f>VLOOKUP($A13,'Página22'!$A$1:$S$27,COLUMN(),TRUE)</f>
        <v>0.1329338818</v>
      </c>
      <c r="P13" s="48">
        <f>VLOOKUP($A13,'Página22'!$A$1:$S$27,COLUMN(),TRUE)</f>
        <v>1.049666216</v>
      </c>
      <c r="Q13" s="48">
        <f>VLOOKUP($A13,'Página22'!$A$1:$S$27,COLUMN(),TRUE)</f>
        <v>0.1409490469</v>
      </c>
      <c r="R13" s="48">
        <f>VLOOKUP($A13,'Página22'!$A$1:$S$27,COLUMN(),TRUE)</f>
        <v>0.9978787168</v>
      </c>
      <c r="S13" s="48">
        <f>VLOOKUP($A13,'Página22'!$A$1:$S$27,COLUMN(),TRUE)</f>
        <v>0.1409490469</v>
      </c>
      <c r="T13" s="73">
        <f t="shared" si="5"/>
        <v>2016</v>
      </c>
      <c r="U13" s="73">
        <f t="shared" si="6"/>
        <v>12</v>
      </c>
    </row>
    <row r="14">
      <c r="A14" s="34">
        <v>42736.0</v>
      </c>
      <c r="B14" s="48">
        <f t="shared" si="1"/>
        <v>1.169688461</v>
      </c>
      <c r="C14" s="48">
        <f>IF(MONTH($A14)=12,2.333,1)*VLOOKUP($A14,'Página22'!$A$1:$S$27,COLUMN(),TRUE)</f>
        <v>1.052631579</v>
      </c>
      <c r="D14" s="48">
        <f t="shared" si="2"/>
        <v>1.144988608</v>
      </c>
      <c r="E14" s="48">
        <f>IF(MONTH($A14)=12,2.333,1)*VLOOKUP($A14,'Página22'!$A$1:$S$27,COLUMN(),TRUE)</f>
        <v>1.052631579</v>
      </c>
      <c r="F14" s="48">
        <f>IF(MONTH($A14)=12,2.333,1)*VLOOKUP($A14,'Página22'!$A$1:$S$27,COLUMN(),TRUE)</f>
        <v>1</v>
      </c>
      <c r="G14" s="48">
        <f t="shared" si="3"/>
        <v>1.176701728</v>
      </c>
      <c r="H14" s="48">
        <f>IF(MONTH($A14)=12,2.333,1)*VLOOKUP($A14,'Página22'!$A$1:$S$27,COLUMN(),TRUE)</f>
        <v>1.049849333</v>
      </c>
      <c r="I14" s="48">
        <f t="shared" si="4"/>
        <v>1.150416449</v>
      </c>
      <c r="J14" s="48">
        <f>IF(MONTH($A14)=12,2.333,1)*VLOOKUP($A14,'Página22'!$A$1:$S$27,COLUMN(),TRUE)</f>
        <v>1.049849333</v>
      </c>
      <c r="K14" s="48">
        <f>IF(MONTH($A14)=12,2.333,1)*VLOOKUP($A14,'Página22'!$A$1:$S$27,COLUMN(),TRUE)</f>
        <v>1</v>
      </c>
      <c r="L14" s="48">
        <f>VLOOKUP($A14,'Página22'!$A$1:$S$27,COLUMN(),TRUE)</f>
        <v>1.033156247</v>
      </c>
      <c r="M14" s="48">
        <f>VLOOKUP($A14,'Página22'!$A$1:$S$27,COLUMN(),TRUE)</f>
        <v>0.1517024222</v>
      </c>
      <c r="N14" s="48">
        <f>VLOOKUP($A14,'Página22'!$A$1:$S$27,COLUMN(),TRUE)</f>
        <v>1.033153348</v>
      </c>
      <c r="O14" s="48">
        <f>VLOOKUP($A14,'Página22'!$A$1:$S$27,COLUMN(),TRUE)</f>
        <v>0.1242613697</v>
      </c>
      <c r="P14" s="48">
        <f>VLOOKUP($A14,'Página22'!$A$1:$S$27,COLUMN(),TRUE)</f>
        <v>1.031403388</v>
      </c>
      <c r="Q14" s="48">
        <f>VLOOKUP($A14,'Página22'!$A$1:$S$27,COLUMN(),TRUE)</f>
        <v>0.16144256</v>
      </c>
      <c r="R14" s="48">
        <f>VLOOKUP($A14,'Página22'!$A$1:$S$27,COLUMN(),TRUE)</f>
        <v>1.031400743</v>
      </c>
      <c r="S14" s="48">
        <f>VLOOKUP($A14,'Página22'!$A$1:$S$27,COLUMN(),TRUE)</f>
        <v>0.1322396396</v>
      </c>
      <c r="T14" s="73">
        <f t="shared" si="5"/>
        <v>2017</v>
      </c>
      <c r="U14" s="73">
        <f t="shared" si="6"/>
        <v>1</v>
      </c>
    </row>
    <row r="15">
      <c r="A15" s="34">
        <v>42767.0</v>
      </c>
      <c r="B15" s="48">
        <f t="shared" si="1"/>
        <v>1.169688461</v>
      </c>
      <c r="C15" s="48">
        <f>IF(MONTH($A15)=12,2.333,1)*VLOOKUP($A15,'Página22'!$A$1:$S$27,COLUMN(),TRUE)</f>
        <v>1.052631579</v>
      </c>
      <c r="D15" s="48">
        <f t="shared" si="2"/>
        <v>1.144988608</v>
      </c>
      <c r="E15" s="48">
        <f>IF(MONTH($A15)=12,2.333,1)*VLOOKUP($A15,'Página22'!$A$1:$S$27,COLUMN(),TRUE)</f>
        <v>1.052631579</v>
      </c>
      <c r="F15" s="48">
        <f>IF(MONTH($A15)=12,2.333,1)*VLOOKUP($A15,'Página22'!$A$1:$S$27,COLUMN(),TRUE)</f>
        <v>1</v>
      </c>
      <c r="G15" s="48">
        <f t="shared" si="3"/>
        <v>1.176701728</v>
      </c>
      <c r="H15" s="48">
        <f>IF(MONTH($A15)=12,2.333,1)*VLOOKUP($A15,'Página22'!$A$1:$S$27,COLUMN(),TRUE)</f>
        <v>1.049849333</v>
      </c>
      <c r="I15" s="48">
        <f t="shared" si="4"/>
        <v>1.150416449</v>
      </c>
      <c r="J15" s="48">
        <f>IF(MONTH($A15)=12,2.333,1)*VLOOKUP($A15,'Página22'!$A$1:$S$27,COLUMN(),TRUE)</f>
        <v>1.049849333</v>
      </c>
      <c r="K15" s="48">
        <f>IF(MONTH($A15)=12,2.333,1)*VLOOKUP($A15,'Página22'!$A$1:$S$27,COLUMN(),TRUE)</f>
        <v>1</v>
      </c>
      <c r="L15" s="48">
        <f>VLOOKUP($A15,'Página22'!$A$1:$S$27,COLUMN(),TRUE)</f>
        <v>1.033156247</v>
      </c>
      <c r="M15" s="48">
        <f>VLOOKUP($A15,'Página22'!$A$1:$S$27,COLUMN(),TRUE)</f>
        <v>0.1517024222</v>
      </c>
      <c r="N15" s="48">
        <f>VLOOKUP($A15,'Página22'!$A$1:$S$27,COLUMN(),TRUE)</f>
        <v>1.033153348</v>
      </c>
      <c r="O15" s="48">
        <f>VLOOKUP($A15,'Página22'!$A$1:$S$27,COLUMN(),TRUE)</f>
        <v>0.1242613697</v>
      </c>
      <c r="P15" s="48">
        <f>VLOOKUP($A15,'Página22'!$A$1:$S$27,COLUMN(),TRUE)</f>
        <v>1.031403388</v>
      </c>
      <c r="Q15" s="48">
        <f>VLOOKUP($A15,'Página22'!$A$1:$S$27,COLUMN(),TRUE)</f>
        <v>0.16144256</v>
      </c>
      <c r="R15" s="48">
        <f>VLOOKUP($A15,'Página22'!$A$1:$S$27,COLUMN(),TRUE)</f>
        <v>1.031400743</v>
      </c>
      <c r="S15" s="48">
        <f>VLOOKUP($A15,'Página22'!$A$1:$S$27,COLUMN(),TRUE)</f>
        <v>0.1322396396</v>
      </c>
      <c r="T15" s="73">
        <f t="shared" si="5"/>
        <v>2017</v>
      </c>
      <c r="U15" s="73">
        <f t="shared" si="6"/>
        <v>2</v>
      </c>
    </row>
    <row r="16">
      <c r="A16" s="34">
        <v>42795.0</v>
      </c>
      <c r="B16" s="48">
        <f t="shared" si="1"/>
        <v>1.169688461</v>
      </c>
      <c r="C16" s="48">
        <f>IF(MONTH($A16)=12,2.333,1)*VLOOKUP($A16,'Página22'!$A$1:$S$27,COLUMN(),TRUE)</f>
        <v>1.052631579</v>
      </c>
      <c r="D16" s="48">
        <f t="shared" si="2"/>
        <v>1.144988608</v>
      </c>
      <c r="E16" s="48">
        <f>IF(MONTH($A16)=12,2.333,1)*VLOOKUP($A16,'Página22'!$A$1:$S$27,COLUMN(),TRUE)</f>
        <v>1.052631579</v>
      </c>
      <c r="F16" s="48">
        <f>IF(MONTH($A16)=12,2.333,1)*VLOOKUP($A16,'Página22'!$A$1:$S$27,COLUMN(),TRUE)</f>
        <v>1</v>
      </c>
      <c r="G16" s="48">
        <f t="shared" si="3"/>
        <v>1.176701728</v>
      </c>
      <c r="H16" s="48">
        <f>IF(MONTH($A16)=12,2.333,1)*VLOOKUP($A16,'Página22'!$A$1:$S$27,COLUMN(),TRUE)</f>
        <v>1.049849333</v>
      </c>
      <c r="I16" s="48">
        <f t="shared" si="4"/>
        <v>1.150416449</v>
      </c>
      <c r="J16" s="48">
        <f>IF(MONTH($A16)=12,2.333,1)*VLOOKUP($A16,'Página22'!$A$1:$S$27,COLUMN(),TRUE)</f>
        <v>1.049849333</v>
      </c>
      <c r="K16" s="48">
        <f>IF(MONTH($A16)=12,2.333,1)*VLOOKUP($A16,'Página22'!$A$1:$S$27,COLUMN(),TRUE)</f>
        <v>1</v>
      </c>
      <c r="L16" s="48">
        <f>VLOOKUP($A16,'Página22'!$A$1:$S$27,COLUMN(),TRUE)</f>
        <v>1.033156247</v>
      </c>
      <c r="M16" s="48">
        <f>VLOOKUP($A16,'Página22'!$A$1:$S$27,COLUMN(),TRUE)</f>
        <v>0.1517024222</v>
      </c>
      <c r="N16" s="48">
        <f>VLOOKUP($A16,'Página22'!$A$1:$S$27,COLUMN(),TRUE)</f>
        <v>1.033153348</v>
      </c>
      <c r="O16" s="48">
        <f>VLOOKUP($A16,'Página22'!$A$1:$S$27,COLUMN(),TRUE)</f>
        <v>0.1242613697</v>
      </c>
      <c r="P16" s="48">
        <f>VLOOKUP($A16,'Página22'!$A$1:$S$27,COLUMN(),TRUE)</f>
        <v>1.031403388</v>
      </c>
      <c r="Q16" s="48">
        <f>VLOOKUP($A16,'Página22'!$A$1:$S$27,COLUMN(),TRUE)</f>
        <v>0.16144256</v>
      </c>
      <c r="R16" s="48">
        <f>VLOOKUP($A16,'Página22'!$A$1:$S$27,COLUMN(),TRUE)</f>
        <v>1.031400743</v>
      </c>
      <c r="S16" s="48">
        <f>VLOOKUP($A16,'Página22'!$A$1:$S$27,COLUMN(),TRUE)</f>
        <v>0.1322396396</v>
      </c>
      <c r="T16" s="73">
        <f t="shared" si="5"/>
        <v>2017</v>
      </c>
      <c r="U16" s="73">
        <f t="shared" si="6"/>
        <v>3</v>
      </c>
    </row>
    <row r="17">
      <c r="A17" s="34">
        <v>42826.0</v>
      </c>
      <c r="B17" s="48">
        <f t="shared" si="1"/>
        <v>1.169688461</v>
      </c>
      <c r="C17" s="48">
        <f>IF(MONTH($A17)=12,2.333,1)*VLOOKUP($A17,'Página22'!$A$1:$S$27,COLUMN(),TRUE)</f>
        <v>1.052631579</v>
      </c>
      <c r="D17" s="48">
        <f t="shared" si="2"/>
        <v>1.144988608</v>
      </c>
      <c r="E17" s="48">
        <f>IF(MONTH($A17)=12,2.333,1)*VLOOKUP($A17,'Página22'!$A$1:$S$27,COLUMN(),TRUE)</f>
        <v>1.052631579</v>
      </c>
      <c r="F17" s="48">
        <f>IF(MONTH($A17)=12,2.333,1)*VLOOKUP($A17,'Página22'!$A$1:$S$27,COLUMN(),TRUE)</f>
        <v>1</v>
      </c>
      <c r="G17" s="48">
        <f t="shared" si="3"/>
        <v>1.176701728</v>
      </c>
      <c r="H17" s="48">
        <f>IF(MONTH($A17)=12,2.333,1)*VLOOKUP($A17,'Página22'!$A$1:$S$27,COLUMN(),TRUE)</f>
        <v>1.049849333</v>
      </c>
      <c r="I17" s="48">
        <f t="shared" si="4"/>
        <v>1.150416449</v>
      </c>
      <c r="J17" s="48">
        <f>IF(MONTH($A17)=12,2.333,1)*VLOOKUP($A17,'Página22'!$A$1:$S$27,COLUMN(),TRUE)</f>
        <v>1.049849333</v>
      </c>
      <c r="K17" s="48">
        <f>IF(MONTH($A17)=12,2.333,1)*VLOOKUP($A17,'Página22'!$A$1:$S$27,COLUMN(),TRUE)</f>
        <v>1</v>
      </c>
      <c r="L17" s="48">
        <f>VLOOKUP($A17,'Página22'!$A$1:$S$27,COLUMN(),TRUE)</f>
        <v>1.033156247</v>
      </c>
      <c r="M17" s="48">
        <f>VLOOKUP($A17,'Página22'!$A$1:$S$27,COLUMN(),TRUE)</f>
        <v>0.1517024222</v>
      </c>
      <c r="N17" s="48">
        <f>VLOOKUP($A17,'Página22'!$A$1:$S$27,COLUMN(),TRUE)</f>
        <v>1.033153348</v>
      </c>
      <c r="O17" s="48">
        <f>VLOOKUP($A17,'Página22'!$A$1:$S$27,COLUMN(),TRUE)</f>
        <v>0.1242613697</v>
      </c>
      <c r="P17" s="48">
        <f>VLOOKUP($A17,'Página22'!$A$1:$S$27,COLUMN(),TRUE)</f>
        <v>1.031403388</v>
      </c>
      <c r="Q17" s="48">
        <f>VLOOKUP($A17,'Página22'!$A$1:$S$27,COLUMN(),TRUE)</f>
        <v>0.16144256</v>
      </c>
      <c r="R17" s="48">
        <f>VLOOKUP($A17,'Página22'!$A$1:$S$27,COLUMN(),TRUE)</f>
        <v>1.031400743</v>
      </c>
      <c r="S17" s="48">
        <f>VLOOKUP($A17,'Página22'!$A$1:$S$27,COLUMN(),TRUE)</f>
        <v>0.1322396396</v>
      </c>
      <c r="T17" s="73">
        <f t="shared" si="5"/>
        <v>2017</v>
      </c>
      <c r="U17" s="73">
        <f t="shared" si="6"/>
        <v>4</v>
      </c>
    </row>
    <row r="18">
      <c r="A18" s="34">
        <v>42856.0</v>
      </c>
      <c r="B18" s="48">
        <f t="shared" si="1"/>
        <v>1.169688461</v>
      </c>
      <c r="C18" s="48">
        <f>IF(MONTH($A18)=12,2.333,1)*VLOOKUP($A18,'Página22'!$A$1:$S$27,COLUMN(),TRUE)</f>
        <v>1.052631579</v>
      </c>
      <c r="D18" s="48">
        <f t="shared" si="2"/>
        <v>1.144988608</v>
      </c>
      <c r="E18" s="48">
        <f>IF(MONTH($A18)=12,2.333,1)*VLOOKUP($A18,'Página22'!$A$1:$S$27,COLUMN(),TRUE)</f>
        <v>1.052631579</v>
      </c>
      <c r="F18" s="48">
        <f>IF(MONTH($A18)=12,2.333,1)*VLOOKUP($A18,'Página22'!$A$1:$S$27,COLUMN(),TRUE)</f>
        <v>1</v>
      </c>
      <c r="G18" s="48">
        <f t="shared" si="3"/>
        <v>1.176701728</v>
      </c>
      <c r="H18" s="48">
        <f>IF(MONTH($A18)=12,2.333,1)*VLOOKUP($A18,'Página22'!$A$1:$S$27,COLUMN(),TRUE)</f>
        <v>1.049849333</v>
      </c>
      <c r="I18" s="48">
        <f t="shared" si="4"/>
        <v>1.150416449</v>
      </c>
      <c r="J18" s="48">
        <f>IF(MONTH($A18)=12,2.333,1)*VLOOKUP($A18,'Página22'!$A$1:$S$27,COLUMN(),TRUE)</f>
        <v>1.049849333</v>
      </c>
      <c r="K18" s="48">
        <f>IF(MONTH($A18)=12,2.333,1)*VLOOKUP($A18,'Página22'!$A$1:$S$27,COLUMN(),TRUE)</f>
        <v>1</v>
      </c>
      <c r="L18" s="48">
        <f>VLOOKUP($A18,'Página22'!$A$1:$S$27,COLUMN(),TRUE)</f>
        <v>1.033156247</v>
      </c>
      <c r="M18" s="48">
        <f>VLOOKUP($A18,'Página22'!$A$1:$S$27,COLUMN(),TRUE)</f>
        <v>0.1517024222</v>
      </c>
      <c r="N18" s="48">
        <f>VLOOKUP($A18,'Página22'!$A$1:$S$27,COLUMN(),TRUE)</f>
        <v>1.033153348</v>
      </c>
      <c r="O18" s="48">
        <f>VLOOKUP($A18,'Página22'!$A$1:$S$27,COLUMN(),TRUE)</f>
        <v>0.1242613697</v>
      </c>
      <c r="P18" s="48">
        <f>VLOOKUP($A18,'Página22'!$A$1:$S$27,COLUMN(),TRUE)</f>
        <v>1.031403388</v>
      </c>
      <c r="Q18" s="48">
        <f>VLOOKUP($A18,'Página22'!$A$1:$S$27,COLUMN(),TRUE)</f>
        <v>0.16144256</v>
      </c>
      <c r="R18" s="48">
        <f>VLOOKUP($A18,'Página22'!$A$1:$S$27,COLUMN(),TRUE)</f>
        <v>1.031400743</v>
      </c>
      <c r="S18" s="48">
        <f>VLOOKUP($A18,'Página22'!$A$1:$S$27,COLUMN(),TRUE)</f>
        <v>0.1322396396</v>
      </c>
      <c r="T18" s="73">
        <f t="shared" si="5"/>
        <v>2017</v>
      </c>
      <c r="U18" s="73">
        <f t="shared" si="6"/>
        <v>5</v>
      </c>
    </row>
    <row r="19">
      <c r="A19" s="34">
        <v>42887.0</v>
      </c>
      <c r="B19" s="48">
        <f t="shared" si="1"/>
        <v>1.169688461</v>
      </c>
      <c r="C19" s="48">
        <f>IF(MONTH($A19)=12,2.333,1)*VLOOKUP($A19,'Página22'!$A$1:$S$27,COLUMN(),TRUE)</f>
        <v>1.052631579</v>
      </c>
      <c r="D19" s="48">
        <f t="shared" si="2"/>
        <v>1.144988608</v>
      </c>
      <c r="E19" s="48">
        <f>IF(MONTH($A19)=12,2.333,1)*VLOOKUP($A19,'Página22'!$A$1:$S$27,COLUMN(),TRUE)</f>
        <v>1.052631579</v>
      </c>
      <c r="F19" s="48">
        <f>IF(MONTH($A19)=12,2.333,1)*VLOOKUP($A19,'Página22'!$A$1:$S$27,COLUMN(),TRUE)</f>
        <v>1</v>
      </c>
      <c r="G19" s="48">
        <f t="shared" si="3"/>
        <v>1.176701728</v>
      </c>
      <c r="H19" s="48">
        <f>IF(MONTH($A19)=12,2.333,1)*VLOOKUP($A19,'Página22'!$A$1:$S$27,COLUMN(),TRUE)</f>
        <v>1.049849333</v>
      </c>
      <c r="I19" s="48">
        <f t="shared" si="4"/>
        <v>1.150416449</v>
      </c>
      <c r="J19" s="48">
        <f>IF(MONTH($A19)=12,2.333,1)*VLOOKUP($A19,'Página22'!$A$1:$S$27,COLUMN(),TRUE)</f>
        <v>1.049849333</v>
      </c>
      <c r="K19" s="48">
        <f>IF(MONTH($A19)=12,2.333,1)*VLOOKUP($A19,'Página22'!$A$1:$S$27,COLUMN(),TRUE)</f>
        <v>1</v>
      </c>
      <c r="L19" s="48">
        <f>VLOOKUP($A19,'Página22'!$A$1:$S$27,COLUMN(),TRUE)</f>
        <v>1.033156247</v>
      </c>
      <c r="M19" s="48">
        <f>VLOOKUP($A19,'Página22'!$A$1:$S$27,COLUMN(),TRUE)</f>
        <v>0.1517024222</v>
      </c>
      <c r="N19" s="48">
        <f>VLOOKUP($A19,'Página22'!$A$1:$S$27,COLUMN(),TRUE)</f>
        <v>1.033153348</v>
      </c>
      <c r="O19" s="48">
        <f>VLOOKUP($A19,'Página22'!$A$1:$S$27,COLUMN(),TRUE)</f>
        <v>0.1242613697</v>
      </c>
      <c r="P19" s="48">
        <f>VLOOKUP($A19,'Página22'!$A$1:$S$27,COLUMN(),TRUE)</f>
        <v>1.031403388</v>
      </c>
      <c r="Q19" s="48">
        <f>VLOOKUP($A19,'Página22'!$A$1:$S$27,COLUMN(),TRUE)</f>
        <v>0.16144256</v>
      </c>
      <c r="R19" s="48">
        <f>VLOOKUP($A19,'Página22'!$A$1:$S$27,COLUMN(),TRUE)</f>
        <v>1.031400743</v>
      </c>
      <c r="S19" s="48">
        <f>VLOOKUP($A19,'Página22'!$A$1:$S$27,COLUMN(),TRUE)</f>
        <v>0.1322396396</v>
      </c>
      <c r="T19" s="73">
        <f t="shared" si="5"/>
        <v>2017</v>
      </c>
      <c r="U19" s="73">
        <f t="shared" si="6"/>
        <v>6</v>
      </c>
    </row>
    <row r="20">
      <c r="A20" s="34">
        <v>42917.0</v>
      </c>
      <c r="B20" s="48">
        <f t="shared" si="1"/>
        <v>1.169688461</v>
      </c>
      <c r="C20" s="48">
        <f>IF(MONTH($A20)=12,2.333,1)*VLOOKUP($A20,'Página22'!$A$1:$S$27,COLUMN(),TRUE)</f>
        <v>1.052631579</v>
      </c>
      <c r="D20" s="48">
        <f t="shared" si="2"/>
        <v>1.144988608</v>
      </c>
      <c r="E20" s="48">
        <f>IF(MONTH($A20)=12,2.333,1)*VLOOKUP($A20,'Página22'!$A$1:$S$27,COLUMN(),TRUE)</f>
        <v>1.052631579</v>
      </c>
      <c r="F20" s="48">
        <f>IF(MONTH($A20)=12,2.333,1)*VLOOKUP($A20,'Página22'!$A$1:$S$27,COLUMN(),TRUE)</f>
        <v>1</v>
      </c>
      <c r="G20" s="48">
        <f t="shared" si="3"/>
        <v>1.176701728</v>
      </c>
      <c r="H20" s="48">
        <f>IF(MONTH($A20)=12,2.333,1)*VLOOKUP($A20,'Página22'!$A$1:$S$27,COLUMN(),TRUE)</f>
        <v>1.049849333</v>
      </c>
      <c r="I20" s="48">
        <f t="shared" si="4"/>
        <v>1.150416449</v>
      </c>
      <c r="J20" s="48">
        <f>IF(MONTH($A20)=12,2.333,1)*VLOOKUP($A20,'Página22'!$A$1:$S$27,COLUMN(),TRUE)</f>
        <v>1.049849333</v>
      </c>
      <c r="K20" s="48">
        <f>IF(MONTH($A20)=12,2.333,1)*VLOOKUP($A20,'Página22'!$A$1:$S$27,COLUMN(),TRUE)</f>
        <v>1</v>
      </c>
      <c r="L20" s="48">
        <f>VLOOKUP($A20,'Página22'!$A$1:$S$27,COLUMN(),TRUE)</f>
        <v>1.033156247</v>
      </c>
      <c r="M20" s="48">
        <f>VLOOKUP($A20,'Página22'!$A$1:$S$27,COLUMN(),TRUE)</f>
        <v>0.1517024222</v>
      </c>
      <c r="N20" s="48">
        <f>VLOOKUP($A20,'Página22'!$A$1:$S$27,COLUMN(),TRUE)</f>
        <v>1.033153348</v>
      </c>
      <c r="O20" s="48">
        <f>VLOOKUP($A20,'Página22'!$A$1:$S$27,COLUMN(),TRUE)</f>
        <v>0.1242613697</v>
      </c>
      <c r="P20" s="48">
        <f>VLOOKUP($A20,'Página22'!$A$1:$S$27,COLUMN(),TRUE)</f>
        <v>1.031403388</v>
      </c>
      <c r="Q20" s="48">
        <f>VLOOKUP($A20,'Página22'!$A$1:$S$27,COLUMN(),TRUE)</f>
        <v>0.16144256</v>
      </c>
      <c r="R20" s="48">
        <f>VLOOKUP($A20,'Página22'!$A$1:$S$27,COLUMN(),TRUE)</f>
        <v>1.031400743</v>
      </c>
      <c r="S20" s="48">
        <f>VLOOKUP($A20,'Página22'!$A$1:$S$27,COLUMN(),TRUE)</f>
        <v>0.1322396396</v>
      </c>
      <c r="T20" s="73">
        <f t="shared" si="5"/>
        <v>2017</v>
      </c>
      <c r="U20" s="73">
        <f t="shared" si="6"/>
        <v>7</v>
      </c>
    </row>
    <row r="21">
      <c r="A21" s="34">
        <v>42948.0</v>
      </c>
      <c r="B21" s="48">
        <f t="shared" si="1"/>
        <v>1.169688461</v>
      </c>
      <c r="C21" s="48">
        <f>IF(MONTH($A21)=12,2.333,1)*VLOOKUP($A21,'Página22'!$A$1:$S$27,COLUMN(),TRUE)</f>
        <v>1.052631579</v>
      </c>
      <c r="D21" s="48">
        <f t="shared" si="2"/>
        <v>1.144988608</v>
      </c>
      <c r="E21" s="48">
        <f>IF(MONTH($A21)=12,2.333,1)*VLOOKUP($A21,'Página22'!$A$1:$S$27,COLUMN(),TRUE)</f>
        <v>1.052631579</v>
      </c>
      <c r="F21" s="48">
        <f>IF(MONTH($A21)=12,2.333,1)*VLOOKUP($A21,'Página22'!$A$1:$S$27,COLUMN(),TRUE)</f>
        <v>1</v>
      </c>
      <c r="G21" s="48">
        <f t="shared" si="3"/>
        <v>1.176701728</v>
      </c>
      <c r="H21" s="48">
        <f>IF(MONTH($A21)=12,2.333,1)*VLOOKUP($A21,'Página22'!$A$1:$S$27,COLUMN(),TRUE)</f>
        <v>1.049849333</v>
      </c>
      <c r="I21" s="48">
        <f t="shared" si="4"/>
        <v>1.150416449</v>
      </c>
      <c r="J21" s="48">
        <f>IF(MONTH($A21)=12,2.333,1)*VLOOKUP($A21,'Página22'!$A$1:$S$27,COLUMN(),TRUE)</f>
        <v>1.049849333</v>
      </c>
      <c r="K21" s="48">
        <f>IF(MONTH($A21)=12,2.333,1)*VLOOKUP($A21,'Página22'!$A$1:$S$27,COLUMN(),TRUE)</f>
        <v>1</v>
      </c>
      <c r="L21" s="48">
        <f>VLOOKUP($A21,'Página22'!$A$1:$S$27,COLUMN(),TRUE)</f>
        <v>1.033156247</v>
      </c>
      <c r="M21" s="48">
        <f>VLOOKUP($A21,'Página22'!$A$1:$S$27,COLUMN(),TRUE)</f>
        <v>0.1517024222</v>
      </c>
      <c r="N21" s="48">
        <f>VLOOKUP($A21,'Página22'!$A$1:$S$27,COLUMN(),TRUE)</f>
        <v>1.033153348</v>
      </c>
      <c r="O21" s="48">
        <f>VLOOKUP($A21,'Página22'!$A$1:$S$27,COLUMN(),TRUE)</f>
        <v>0.1242613697</v>
      </c>
      <c r="P21" s="48">
        <f>VLOOKUP($A21,'Página22'!$A$1:$S$27,COLUMN(),TRUE)</f>
        <v>1.031403388</v>
      </c>
      <c r="Q21" s="48">
        <f>VLOOKUP($A21,'Página22'!$A$1:$S$27,COLUMN(),TRUE)</f>
        <v>0.16144256</v>
      </c>
      <c r="R21" s="48">
        <f>VLOOKUP($A21,'Página22'!$A$1:$S$27,COLUMN(),TRUE)</f>
        <v>1.031400743</v>
      </c>
      <c r="S21" s="48">
        <f>VLOOKUP($A21,'Página22'!$A$1:$S$27,COLUMN(),TRUE)</f>
        <v>0.1322396396</v>
      </c>
      <c r="T21" s="73">
        <f t="shared" si="5"/>
        <v>2017</v>
      </c>
      <c r="U21" s="73">
        <f t="shared" si="6"/>
        <v>8</v>
      </c>
    </row>
    <row r="22">
      <c r="A22" s="34">
        <v>42979.0</v>
      </c>
      <c r="B22" s="48">
        <f t="shared" si="1"/>
        <v>1.169688461</v>
      </c>
      <c r="C22" s="48">
        <f>IF(MONTH($A22)=12,2.333,1)*VLOOKUP($A22,'Página22'!$A$1:$S$27,COLUMN(),TRUE)</f>
        <v>1.052631579</v>
      </c>
      <c r="D22" s="48">
        <f t="shared" si="2"/>
        <v>1.144988608</v>
      </c>
      <c r="E22" s="48">
        <f>IF(MONTH($A22)=12,2.333,1)*VLOOKUP($A22,'Página22'!$A$1:$S$27,COLUMN(),TRUE)</f>
        <v>1.052631579</v>
      </c>
      <c r="F22" s="48">
        <f>IF(MONTH($A22)=12,2.333,1)*VLOOKUP($A22,'Página22'!$A$1:$S$27,COLUMN(),TRUE)</f>
        <v>1</v>
      </c>
      <c r="G22" s="48">
        <f t="shared" si="3"/>
        <v>1.176701728</v>
      </c>
      <c r="H22" s="48">
        <f>IF(MONTH($A22)=12,2.333,1)*VLOOKUP($A22,'Página22'!$A$1:$S$27,COLUMN(),TRUE)</f>
        <v>1.049849333</v>
      </c>
      <c r="I22" s="48">
        <f t="shared" si="4"/>
        <v>1.150416449</v>
      </c>
      <c r="J22" s="48">
        <f>IF(MONTH($A22)=12,2.333,1)*VLOOKUP($A22,'Página22'!$A$1:$S$27,COLUMN(),TRUE)</f>
        <v>1.049849333</v>
      </c>
      <c r="K22" s="48">
        <f>IF(MONTH($A22)=12,2.333,1)*VLOOKUP($A22,'Página22'!$A$1:$S$27,COLUMN(),TRUE)</f>
        <v>1</v>
      </c>
      <c r="L22" s="48">
        <f>VLOOKUP($A22,'Página22'!$A$1:$S$27,COLUMN(),TRUE)</f>
        <v>1.033156247</v>
      </c>
      <c r="M22" s="48">
        <f>VLOOKUP($A22,'Página22'!$A$1:$S$27,COLUMN(),TRUE)</f>
        <v>0.1517024222</v>
      </c>
      <c r="N22" s="48">
        <f>VLOOKUP($A22,'Página22'!$A$1:$S$27,COLUMN(),TRUE)</f>
        <v>1.033153348</v>
      </c>
      <c r="O22" s="48">
        <f>VLOOKUP($A22,'Página22'!$A$1:$S$27,COLUMN(),TRUE)</f>
        <v>0.1242613697</v>
      </c>
      <c r="P22" s="48">
        <f>VLOOKUP($A22,'Página22'!$A$1:$S$27,COLUMN(),TRUE)</f>
        <v>1.031403388</v>
      </c>
      <c r="Q22" s="48">
        <f>VLOOKUP($A22,'Página22'!$A$1:$S$27,COLUMN(),TRUE)</f>
        <v>0.16144256</v>
      </c>
      <c r="R22" s="48">
        <f>VLOOKUP($A22,'Página22'!$A$1:$S$27,COLUMN(),TRUE)</f>
        <v>1.031400743</v>
      </c>
      <c r="S22" s="48">
        <f>VLOOKUP($A22,'Página22'!$A$1:$S$27,COLUMN(),TRUE)</f>
        <v>0.1322396396</v>
      </c>
      <c r="T22" s="73">
        <f t="shared" si="5"/>
        <v>2017</v>
      </c>
      <c r="U22" s="73">
        <f t="shared" si="6"/>
        <v>9</v>
      </c>
    </row>
    <row r="23">
      <c r="A23" s="34">
        <v>43009.0</v>
      </c>
      <c r="B23" s="48">
        <f t="shared" si="1"/>
        <v>1.169688461</v>
      </c>
      <c r="C23" s="48">
        <f>IF(MONTH($A23)=12,2.333,1)*VLOOKUP($A23,'Página22'!$A$1:$S$27,COLUMN(),TRUE)</f>
        <v>1.052631579</v>
      </c>
      <c r="D23" s="48">
        <f t="shared" si="2"/>
        <v>1.144988608</v>
      </c>
      <c r="E23" s="48">
        <f>IF(MONTH($A23)=12,2.333,1)*VLOOKUP($A23,'Página22'!$A$1:$S$27,COLUMN(),TRUE)</f>
        <v>1.052631579</v>
      </c>
      <c r="F23" s="48">
        <f>IF(MONTH($A23)=12,2.333,1)*VLOOKUP($A23,'Página22'!$A$1:$S$27,COLUMN(),TRUE)</f>
        <v>1</v>
      </c>
      <c r="G23" s="48">
        <f t="shared" si="3"/>
        <v>1.176701728</v>
      </c>
      <c r="H23" s="48">
        <f>IF(MONTH($A23)=12,2.333,1)*VLOOKUP($A23,'Página22'!$A$1:$S$27,COLUMN(),TRUE)</f>
        <v>1.049849333</v>
      </c>
      <c r="I23" s="48">
        <f t="shared" si="4"/>
        <v>1.150416449</v>
      </c>
      <c r="J23" s="48">
        <f>IF(MONTH($A23)=12,2.333,1)*VLOOKUP($A23,'Página22'!$A$1:$S$27,COLUMN(),TRUE)</f>
        <v>1.049849333</v>
      </c>
      <c r="K23" s="48">
        <f>IF(MONTH($A23)=12,2.333,1)*VLOOKUP($A23,'Página22'!$A$1:$S$27,COLUMN(),TRUE)</f>
        <v>1</v>
      </c>
      <c r="L23" s="48">
        <f>VLOOKUP($A23,'Página22'!$A$1:$S$27,COLUMN(),TRUE)</f>
        <v>1.033156247</v>
      </c>
      <c r="M23" s="48">
        <f>VLOOKUP($A23,'Página22'!$A$1:$S$27,COLUMN(),TRUE)</f>
        <v>0.1517024222</v>
      </c>
      <c r="N23" s="48">
        <f>VLOOKUP($A23,'Página22'!$A$1:$S$27,COLUMN(),TRUE)</f>
        <v>1.033153348</v>
      </c>
      <c r="O23" s="48">
        <f>VLOOKUP($A23,'Página22'!$A$1:$S$27,COLUMN(),TRUE)</f>
        <v>0.1242613697</v>
      </c>
      <c r="P23" s="48">
        <f>VLOOKUP($A23,'Página22'!$A$1:$S$27,COLUMN(),TRUE)</f>
        <v>1.031403388</v>
      </c>
      <c r="Q23" s="48">
        <f>VLOOKUP($A23,'Página22'!$A$1:$S$27,COLUMN(),TRUE)</f>
        <v>0.16144256</v>
      </c>
      <c r="R23" s="48">
        <f>VLOOKUP($A23,'Página22'!$A$1:$S$27,COLUMN(),TRUE)</f>
        <v>1.031400743</v>
      </c>
      <c r="S23" s="48">
        <f>VLOOKUP($A23,'Página22'!$A$1:$S$27,COLUMN(),TRUE)</f>
        <v>0.1322396396</v>
      </c>
      <c r="T23" s="73">
        <f t="shared" si="5"/>
        <v>2017</v>
      </c>
      <c r="U23" s="73">
        <f t="shared" si="6"/>
        <v>10</v>
      </c>
    </row>
    <row r="24">
      <c r="A24" s="34">
        <v>43040.0</v>
      </c>
      <c r="B24" s="48">
        <f t="shared" si="1"/>
        <v>1.169688461</v>
      </c>
      <c r="C24" s="48">
        <f>IF(MONTH($A24)=12,2.333,1)*VLOOKUP($A24,'Página22'!$A$1:$S$27,COLUMN(),TRUE)</f>
        <v>1.052631579</v>
      </c>
      <c r="D24" s="48">
        <f t="shared" si="2"/>
        <v>1.144988608</v>
      </c>
      <c r="E24" s="48">
        <f>IF(MONTH($A24)=12,2.333,1)*VLOOKUP($A24,'Página22'!$A$1:$S$27,COLUMN(),TRUE)</f>
        <v>1.052631579</v>
      </c>
      <c r="F24" s="48">
        <f>IF(MONTH($A24)=12,2.333,1)*VLOOKUP($A24,'Página22'!$A$1:$S$27,COLUMN(),TRUE)</f>
        <v>1</v>
      </c>
      <c r="G24" s="48">
        <f t="shared" si="3"/>
        <v>1.176701728</v>
      </c>
      <c r="H24" s="48">
        <f>IF(MONTH($A24)=12,2.333,1)*VLOOKUP($A24,'Página22'!$A$1:$S$27,COLUMN(),TRUE)</f>
        <v>1.049849333</v>
      </c>
      <c r="I24" s="48">
        <f t="shared" si="4"/>
        <v>1.150416449</v>
      </c>
      <c r="J24" s="48">
        <f>IF(MONTH($A24)=12,2.333,1)*VLOOKUP($A24,'Página22'!$A$1:$S$27,COLUMN(),TRUE)</f>
        <v>1.049849333</v>
      </c>
      <c r="K24" s="48">
        <f>IF(MONTH($A24)=12,2.333,1)*VLOOKUP($A24,'Página22'!$A$1:$S$27,COLUMN(),TRUE)</f>
        <v>1</v>
      </c>
      <c r="L24" s="48">
        <f>VLOOKUP($A24,'Página22'!$A$1:$S$27,COLUMN(),TRUE)</f>
        <v>1.033156247</v>
      </c>
      <c r="M24" s="48">
        <f>VLOOKUP($A24,'Página22'!$A$1:$S$27,COLUMN(),TRUE)</f>
        <v>0.1517024222</v>
      </c>
      <c r="N24" s="48">
        <f>VLOOKUP($A24,'Página22'!$A$1:$S$27,COLUMN(),TRUE)</f>
        <v>1.033153348</v>
      </c>
      <c r="O24" s="48">
        <f>VLOOKUP($A24,'Página22'!$A$1:$S$27,COLUMN(),TRUE)</f>
        <v>0.1242613697</v>
      </c>
      <c r="P24" s="48">
        <f>VLOOKUP($A24,'Página22'!$A$1:$S$27,COLUMN(),TRUE)</f>
        <v>1.031403388</v>
      </c>
      <c r="Q24" s="48">
        <f>VLOOKUP($A24,'Página22'!$A$1:$S$27,COLUMN(),TRUE)</f>
        <v>0.16144256</v>
      </c>
      <c r="R24" s="48">
        <f>VLOOKUP($A24,'Página22'!$A$1:$S$27,COLUMN(),TRUE)</f>
        <v>1.031400743</v>
      </c>
      <c r="S24" s="48">
        <f>VLOOKUP($A24,'Página22'!$A$1:$S$27,COLUMN(),TRUE)</f>
        <v>0.1322396396</v>
      </c>
      <c r="T24" s="73">
        <f t="shared" si="5"/>
        <v>2017</v>
      </c>
      <c r="U24" s="73">
        <f t="shared" si="6"/>
        <v>11</v>
      </c>
    </row>
    <row r="25">
      <c r="A25" s="34">
        <v>43070.0</v>
      </c>
      <c r="B25" s="48">
        <f t="shared" si="1"/>
        <v>2.72888318</v>
      </c>
      <c r="C25" s="48">
        <f>IF(MONTH($A25)=12,2.333,1)*VLOOKUP($A25,'Página22'!$A$1:$S$27,COLUMN(),TRUE)</f>
        <v>2.455789474</v>
      </c>
      <c r="D25" s="48">
        <f t="shared" si="2"/>
        <v>2.671258423</v>
      </c>
      <c r="E25" s="48">
        <f>IF(MONTH($A25)=12,2.333,1)*VLOOKUP($A25,'Página22'!$A$1:$S$27,COLUMN(),TRUE)</f>
        <v>2.455789474</v>
      </c>
      <c r="F25" s="48">
        <f>IF(MONTH($A25)=12,2.333,1)*VLOOKUP($A25,'Página22'!$A$1:$S$27,COLUMN(),TRUE)</f>
        <v>2.333</v>
      </c>
      <c r="G25" s="48">
        <f t="shared" si="3"/>
        <v>2.745245132</v>
      </c>
      <c r="H25" s="48">
        <f>IF(MONTH($A25)=12,2.333,1)*VLOOKUP($A25,'Página22'!$A$1:$S$27,COLUMN(),TRUE)</f>
        <v>2.449298494</v>
      </c>
      <c r="I25" s="48">
        <f t="shared" si="4"/>
        <v>2.683921575</v>
      </c>
      <c r="J25" s="48">
        <f>IF(MONTH($A25)=12,2.333,1)*VLOOKUP($A25,'Página22'!$A$1:$S$27,COLUMN(),TRUE)</f>
        <v>2.449298494</v>
      </c>
      <c r="K25" s="48">
        <f>IF(MONTH($A25)=12,2.333,1)*VLOOKUP($A25,'Página22'!$A$1:$S$27,COLUMN(),TRUE)</f>
        <v>2.333</v>
      </c>
      <c r="L25" s="48">
        <f>VLOOKUP($A25,'Página22'!$A$1:$S$27,COLUMN(),TRUE)</f>
        <v>1.033156247</v>
      </c>
      <c r="M25" s="48">
        <f>VLOOKUP($A25,'Página22'!$A$1:$S$27,COLUMN(),TRUE)</f>
        <v>0.1517024222</v>
      </c>
      <c r="N25" s="48">
        <f>VLOOKUP($A25,'Página22'!$A$1:$S$27,COLUMN(),TRUE)</f>
        <v>1.033153348</v>
      </c>
      <c r="O25" s="48">
        <f>VLOOKUP($A25,'Página22'!$A$1:$S$27,COLUMN(),TRUE)</f>
        <v>0.1242613697</v>
      </c>
      <c r="P25" s="48">
        <f>VLOOKUP($A25,'Página22'!$A$1:$S$27,COLUMN(),TRUE)</f>
        <v>1.031403388</v>
      </c>
      <c r="Q25" s="48">
        <f>VLOOKUP($A25,'Página22'!$A$1:$S$27,COLUMN(),TRUE)</f>
        <v>0.16144256</v>
      </c>
      <c r="R25" s="48">
        <f>VLOOKUP($A25,'Página22'!$A$1:$S$27,COLUMN(),TRUE)</f>
        <v>1.031400743</v>
      </c>
      <c r="S25" s="48">
        <f>VLOOKUP($A25,'Página22'!$A$1:$S$27,COLUMN(),TRUE)</f>
        <v>0.1322396396</v>
      </c>
      <c r="T25" s="73">
        <f t="shared" si="5"/>
        <v>2017</v>
      </c>
      <c r="U25" s="73">
        <f t="shared" si="6"/>
        <v>12</v>
      </c>
    </row>
    <row r="26">
      <c r="A26" s="34">
        <v>43101.0</v>
      </c>
      <c r="B26" s="48">
        <f t="shared" si="1"/>
        <v>1.240395254</v>
      </c>
      <c r="C26" s="48">
        <f>IF(MONTH($A26)=12,2.333,1)*VLOOKUP($A26,'Página22'!$A$1:$S$27,COLUMN(),TRUE)</f>
        <v>1.052631579</v>
      </c>
      <c r="D26" s="48">
        <f t="shared" si="2"/>
        <v>1.119719854</v>
      </c>
      <c r="E26" s="48">
        <f>IF(MONTH($A26)=12,2.333,1)*VLOOKUP($A26,'Página22'!$A$1:$S$27,COLUMN(),TRUE)</f>
        <v>1.052631579</v>
      </c>
      <c r="F26" s="48">
        <f>IF(MONTH($A26)=12,2.333,1)*VLOOKUP($A26,'Página22'!$A$1:$S$27,COLUMN(),TRUE)</f>
        <v>1</v>
      </c>
      <c r="G26" s="48">
        <f t="shared" si="3"/>
        <v>1.254930829</v>
      </c>
      <c r="H26" s="48">
        <f>IF(MONTH($A26)=12,2.333,1)*VLOOKUP($A26,'Página22'!$A$1:$S$27,COLUMN(),TRUE)</f>
        <v>1.05001438</v>
      </c>
      <c r="I26" s="48">
        <f t="shared" si="4"/>
        <v>1.12608334</v>
      </c>
      <c r="J26" s="48">
        <f>IF(MONTH($A26)=12,2.333,1)*VLOOKUP($A26,'Página22'!$A$1:$S$27,COLUMN(),TRUE)</f>
        <v>1.05001438</v>
      </c>
      <c r="K26" s="48">
        <f>IF(MONTH($A26)=12,2.333,1)*VLOOKUP($A26,'Página22'!$A$1:$S$27,COLUMN(),TRUE)</f>
        <v>1</v>
      </c>
      <c r="L26" s="48">
        <f>VLOOKUP($A26,'Página22'!$A$1:$S$27,COLUMN(),TRUE)</f>
        <v>1.014850299</v>
      </c>
      <c r="M26" s="48">
        <f>VLOOKUP($A26,'Página22'!$A$1:$S$27,COLUMN(),TRUE)</f>
        <v>0.250605443</v>
      </c>
      <c r="N26" s="48">
        <f>VLOOKUP($A26,'Página22'!$A$1:$S$27,COLUMN(),TRUE)</f>
        <v>1.01484758</v>
      </c>
      <c r="O26" s="48">
        <f>VLOOKUP($A26,'Página22'!$A$1:$S$27,COLUMN(),TRUE)</f>
        <v>0.1165247201</v>
      </c>
      <c r="P26" s="48">
        <f>VLOOKUP($A26,'Página22'!$A$1:$S$27,COLUMN(),TRUE)</f>
        <v>1.014112061</v>
      </c>
      <c r="Q26" s="48">
        <f>VLOOKUP($A26,'Página22'!$A$1:$S$27,COLUMN(),TRUE)</f>
        <v>0.267576342</v>
      </c>
      <c r="R26" s="48">
        <f>VLOOKUP($A26,'Página22'!$A$1:$S$27,COLUMN(),TRUE)</f>
        <v>1.014109158</v>
      </c>
      <c r="S26" s="48">
        <f>VLOOKUP($A26,'Página22'!$A$1:$S$27,COLUMN(),TRUE)</f>
        <v>0.1244157269</v>
      </c>
      <c r="T26" s="73">
        <f t="shared" si="5"/>
        <v>2018</v>
      </c>
      <c r="U26" s="73">
        <f t="shared" si="6"/>
        <v>1</v>
      </c>
    </row>
    <row r="27">
      <c r="A27" s="34">
        <v>43132.0</v>
      </c>
      <c r="B27" s="48">
        <f t="shared" si="1"/>
        <v>1.240395254</v>
      </c>
      <c r="C27" s="48">
        <f>IF(MONTH($A27)=12,2.333,1)*VLOOKUP($A27,'Página22'!$A$1:$S$27,COLUMN(),TRUE)</f>
        <v>1.052631579</v>
      </c>
      <c r="D27" s="48">
        <f t="shared" si="2"/>
        <v>1.119719854</v>
      </c>
      <c r="E27" s="48">
        <f>IF(MONTH($A27)=12,2.333,1)*VLOOKUP($A27,'Página22'!$A$1:$S$27,COLUMN(),TRUE)</f>
        <v>1.052631579</v>
      </c>
      <c r="F27" s="48">
        <f>IF(MONTH($A27)=12,2.333,1)*VLOOKUP($A27,'Página22'!$A$1:$S$27,COLUMN(),TRUE)</f>
        <v>1</v>
      </c>
      <c r="G27" s="48">
        <f t="shared" si="3"/>
        <v>1.254930829</v>
      </c>
      <c r="H27" s="48">
        <f>IF(MONTH($A27)=12,2.333,1)*VLOOKUP($A27,'Página22'!$A$1:$S$27,COLUMN(),TRUE)</f>
        <v>1.05001438</v>
      </c>
      <c r="I27" s="48">
        <f t="shared" si="4"/>
        <v>1.12608334</v>
      </c>
      <c r="J27" s="48">
        <f>IF(MONTH($A27)=12,2.333,1)*VLOOKUP($A27,'Página22'!$A$1:$S$27,COLUMN(),TRUE)</f>
        <v>1.05001438</v>
      </c>
      <c r="K27" s="48">
        <f>IF(MONTH($A27)=12,2.333,1)*VLOOKUP($A27,'Página22'!$A$1:$S$27,COLUMN(),TRUE)</f>
        <v>1</v>
      </c>
      <c r="L27" s="48">
        <f>VLOOKUP($A27,'Página22'!$A$1:$S$27,COLUMN(),TRUE)</f>
        <v>1.014850299</v>
      </c>
      <c r="M27" s="48">
        <f>VLOOKUP($A27,'Página22'!$A$1:$S$27,COLUMN(),TRUE)</f>
        <v>0.250605443</v>
      </c>
      <c r="N27" s="48">
        <f>VLOOKUP($A27,'Página22'!$A$1:$S$27,COLUMN(),TRUE)</f>
        <v>1.01484758</v>
      </c>
      <c r="O27" s="48">
        <f>VLOOKUP($A27,'Página22'!$A$1:$S$27,COLUMN(),TRUE)</f>
        <v>0.1165247201</v>
      </c>
      <c r="P27" s="48">
        <f>VLOOKUP($A27,'Página22'!$A$1:$S$27,COLUMN(),TRUE)</f>
        <v>1.014112061</v>
      </c>
      <c r="Q27" s="48">
        <f>VLOOKUP($A27,'Página22'!$A$1:$S$27,COLUMN(),TRUE)</f>
        <v>0.267576342</v>
      </c>
      <c r="R27" s="48">
        <f>VLOOKUP($A27,'Página22'!$A$1:$S$27,COLUMN(),TRUE)</f>
        <v>1.014109158</v>
      </c>
      <c r="S27" s="48">
        <f>VLOOKUP($A27,'Página22'!$A$1:$S$27,COLUMN(),TRUE)</f>
        <v>0.1244157269</v>
      </c>
      <c r="T27" s="73">
        <f t="shared" si="5"/>
        <v>2018</v>
      </c>
      <c r="U27" s="73">
        <f t="shared" si="6"/>
        <v>2</v>
      </c>
    </row>
    <row r="28">
      <c r="A28" s="34">
        <v>43160.0</v>
      </c>
      <c r="B28" s="48">
        <f t="shared" si="1"/>
        <v>1.240395254</v>
      </c>
      <c r="C28" s="48">
        <f>IF(MONTH($A28)=12,2.333,1)*VLOOKUP($A28,'Página22'!$A$1:$S$27,COLUMN(),TRUE)</f>
        <v>1.052631579</v>
      </c>
      <c r="D28" s="48">
        <f t="shared" si="2"/>
        <v>1.119719854</v>
      </c>
      <c r="E28" s="48">
        <f>IF(MONTH($A28)=12,2.333,1)*VLOOKUP($A28,'Página22'!$A$1:$S$27,COLUMN(),TRUE)</f>
        <v>1.052631579</v>
      </c>
      <c r="F28" s="48">
        <f>IF(MONTH($A28)=12,2.333,1)*VLOOKUP($A28,'Página22'!$A$1:$S$27,COLUMN(),TRUE)</f>
        <v>1</v>
      </c>
      <c r="G28" s="48">
        <f t="shared" si="3"/>
        <v>1.254930829</v>
      </c>
      <c r="H28" s="48">
        <f>IF(MONTH($A28)=12,2.333,1)*VLOOKUP($A28,'Página22'!$A$1:$S$27,COLUMN(),TRUE)</f>
        <v>1.05001438</v>
      </c>
      <c r="I28" s="48">
        <f t="shared" si="4"/>
        <v>1.12608334</v>
      </c>
      <c r="J28" s="48">
        <f>IF(MONTH($A28)=12,2.333,1)*VLOOKUP($A28,'Página22'!$A$1:$S$27,COLUMN(),TRUE)</f>
        <v>1.05001438</v>
      </c>
      <c r="K28" s="48">
        <f>IF(MONTH($A28)=12,2.333,1)*VLOOKUP($A28,'Página22'!$A$1:$S$27,COLUMN(),TRUE)</f>
        <v>1</v>
      </c>
      <c r="L28" s="48">
        <f>VLOOKUP($A28,'Página22'!$A$1:$S$27,COLUMN(),TRUE)</f>
        <v>1.014850299</v>
      </c>
      <c r="M28" s="48">
        <f>VLOOKUP($A28,'Página22'!$A$1:$S$27,COLUMN(),TRUE)</f>
        <v>0.250605443</v>
      </c>
      <c r="N28" s="48">
        <f>VLOOKUP($A28,'Página22'!$A$1:$S$27,COLUMN(),TRUE)</f>
        <v>1.01484758</v>
      </c>
      <c r="O28" s="48">
        <f>VLOOKUP($A28,'Página22'!$A$1:$S$27,COLUMN(),TRUE)</f>
        <v>0.1165247201</v>
      </c>
      <c r="P28" s="48">
        <f>VLOOKUP($A28,'Página22'!$A$1:$S$27,COLUMN(),TRUE)</f>
        <v>1.014112061</v>
      </c>
      <c r="Q28" s="48">
        <f>VLOOKUP($A28,'Página22'!$A$1:$S$27,COLUMN(),TRUE)</f>
        <v>0.267576342</v>
      </c>
      <c r="R28" s="48">
        <f>VLOOKUP($A28,'Página22'!$A$1:$S$27,COLUMN(),TRUE)</f>
        <v>1.014109158</v>
      </c>
      <c r="S28" s="48">
        <f>VLOOKUP($A28,'Página22'!$A$1:$S$27,COLUMN(),TRUE)</f>
        <v>0.1244157269</v>
      </c>
      <c r="T28" s="73">
        <f t="shared" si="5"/>
        <v>2018</v>
      </c>
      <c r="U28" s="73">
        <f t="shared" si="6"/>
        <v>3</v>
      </c>
    </row>
    <row r="29">
      <c r="A29" s="34">
        <v>43191.0</v>
      </c>
      <c r="B29" s="48">
        <f t="shared" si="1"/>
        <v>1.240395254</v>
      </c>
      <c r="C29" s="48">
        <f>IF(MONTH($A29)=12,2.333,1)*VLOOKUP($A29,'Página22'!$A$1:$S$27,COLUMN(),TRUE)</f>
        <v>1.052631579</v>
      </c>
      <c r="D29" s="48">
        <f t="shared" si="2"/>
        <v>1.119719854</v>
      </c>
      <c r="E29" s="48">
        <f>IF(MONTH($A29)=12,2.333,1)*VLOOKUP($A29,'Página22'!$A$1:$S$27,COLUMN(),TRUE)</f>
        <v>1.052631579</v>
      </c>
      <c r="F29" s="48">
        <f>IF(MONTH($A29)=12,2.333,1)*VLOOKUP($A29,'Página22'!$A$1:$S$27,COLUMN(),TRUE)</f>
        <v>1</v>
      </c>
      <c r="G29" s="48">
        <f t="shared" si="3"/>
        <v>1.254930829</v>
      </c>
      <c r="H29" s="48">
        <f>IF(MONTH($A29)=12,2.333,1)*VLOOKUP($A29,'Página22'!$A$1:$S$27,COLUMN(),TRUE)</f>
        <v>1.05001438</v>
      </c>
      <c r="I29" s="48">
        <f t="shared" si="4"/>
        <v>1.12608334</v>
      </c>
      <c r="J29" s="48">
        <f>IF(MONTH($A29)=12,2.333,1)*VLOOKUP($A29,'Página22'!$A$1:$S$27,COLUMN(),TRUE)</f>
        <v>1.05001438</v>
      </c>
      <c r="K29" s="48">
        <f>IF(MONTH($A29)=12,2.333,1)*VLOOKUP($A29,'Página22'!$A$1:$S$27,COLUMN(),TRUE)</f>
        <v>1</v>
      </c>
      <c r="L29" s="48">
        <f>VLOOKUP($A29,'Página22'!$A$1:$S$27,COLUMN(),TRUE)</f>
        <v>1.014850299</v>
      </c>
      <c r="M29" s="48">
        <f>VLOOKUP($A29,'Página22'!$A$1:$S$27,COLUMN(),TRUE)</f>
        <v>0.250605443</v>
      </c>
      <c r="N29" s="48">
        <f>VLOOKUP($A29,'Página22'!$A$1:$S$27,COLUMN(),TRUE)</f>
        <v>1.01484758</v>
      </c>
      <c r="O29" s="48">
        <f>VLOOKUP($A29,'Página22'!$A$1:$S$27,COLUMN(),TRUE)</f>
        <v>0.1165247201</v>
      </c>
      <c r="P29" s="48">
        <f>VLOOKUP($A29,'Página22'!$A$1:$S$27,COLUMN(),TRUE)</f>
        <v>1.014112061</v>
      </c>
      <c r="Q29" s="48">
        <f>VLOOKUP($A29,'Página22'!$A$1:$S$27,COLUMN(),TRUE)</f>
        <v>0.267576342</v>
      </c>
      <c r="R29" s="48">
        <f>VLOOKUP($A29,'Página22'!$A$1:$S$27,COLUMN(),TRUE)</f>
        <v>1.014109158</v>
      </c>
      <c r="S29" s="48">
        <f>VLOOKUP($A29,'Página22'!$A$1:$S$27,COLUMN(),TRUE)</f>
        <v>0.1244157269</v>
      </c>
      <c r="T29" s="73">
        <f t="shared" si="5"/>
        <v>2018</v>
      </c>
      <c r="U29" s="73">
        <f t="shared" si="6"/>
        <v>4</v>
      </c>
    </row>
    <row r="30">
      <c r="A30" s="34">
        <v>43221.0</v>
      </c>
      <c r="B30" s="48">
        <f t="shared" si="1"/>
        <v>1.240395254</v>
      </c>
      <c r="C30" s="48">
        <f>IF(MONTH($A30)=12,2.333,1)*VLOOKUP($A30,'Página22'!$A$1:$S$27,COLUMN(),TRUE)</f>
        <v>1.052631579</v>
      </c>
      <c r="D30" s="48">
        <f t="shared" si="2"/>
        <v>1.119719854</v>
      </c>
      <c r="E30" s="48">
        <f>IF(MONTH($A30)=12,2.333,1)*VLOOKUP($A30,'Página22'!$A$1:$S$27,COLUMN(),TRUE)</f>
        <v>1.052631579</v>
      </c>
      <c r="F30" s="48">
        <f>IF(MONTH($A30)=12,2.333,1)*VLOOKUP($A30,'Página22'!$A$1:$S$27,COLUMN(),TRUE)</f>
        <v>1</v>
      </c>
      <c r="G30" s="48">
        <f t="shared" si="3"/>
        <v>1.254930829</v>
      </c>
      <c r="H30" s="48">
        <f>IF(MONTH($A30)=12,2.333,1)*VLOOKUP($A30,'Página22'!$A$1:$S$27,COLUMN(),TRUE)</f>
        <v>1.05001438</v>
      </c>
      <c r="I30" s="48">
        <f t="shared" si="4"/>
        <v>1.12608334</v>
      </c>
      <c r="J30" s="48">
        <f>IF(MONTH($A30)=12,2.333,1)*VLOOKUP($A30,'Página22'!$A$1:$S$27,COLUMN(),TRUE)</f>
        <v>1.05001438</v>
      </c>
      <c r="K30" s="48">
        <f>IF(MONTH($A30)=12,2.333,1)*VLOOKUP($A30,'Página22'!$A$1:$S$27,COLUMN(),TRUE)</f>
        <v>1</v>
      </c>
      <c r="L30" s="48">
        <f>VLOOKUP($A30,'Página22'!$A$1:$S$27,COLUMN(),TRUE)</f>
        <v>1.014850299</v>
      </c>
      <c r="M30" s="48">
        <f>VLOOKUP($A30,'Página22'!$A$1:$S$27,COLUMN(),TRUE)</f>
        <v>0.250605443</v>
      </c>
      <c r="N30" s="48">
        <f>VLOOKUP($A30,'Página22'!$A$1:$S$27,COLUMN(),TRUE)</f>
        <v>1.01484758</v>
      </c>
      <c r="O30" s="48">
        <f>VLOOKUP($A30,'Página22'!$A$1:$S$27,COLUMN(),TRUE)</f>
        <v>0.1165247201</v>
      </c>
      <c r="P30" s="48">
        <f>VLOOKUP($A30,'Página22'!$A$1:$S$27,COLUMN(),TRUE)</f>
        <v>1.014112061</v>
      </c>
      <c r="Q30" s="48">
        <f>VLOOKUP($A30,'Página22'!$A$1:$S$27,COLUMN(),TRUE)</f>
        <v>0.267576342</v>
      </c>
      <c r="R30" s="48">
        <f>VLOOKUP($A30,'Página22'!$A$1:$S$27,COLUMN(),TRUE)</f>
        <v>1.014109158</v>
      </c>
      <c r="S30" s="48">
        <f>VLOOKUP($A30,'Página22'!$A$1:$S$27,COLUMN(),TRUE)</f>
        <v>0.1244157269</v>
      </c>
      <c r="T30" s="73">
        <f t="shared" si="5"/>
        <v>2018</v>
      </c>
      <c r="U30" s="73">
        <f t="shared" si="6"/>
        <v>5</v>
      </c>
    </row>
    <row r="31">
      <c r="A31" s="34">
        <v>43252.0</v>
      </c>
      <c r="B31" s="48">
        <f t="shared" si="1"/>
        <v>1.240395254</v>
      </c>
      <c r="C31" s="48">
        <f>IF(MONTH($A31)=12,2.333,1)*VLOOKUP($A31,'Página22'!$A$1:$S$27,COLUMN(),TRUE)</f>
        <v>1.052631579</v>
      </c>
      <c r="D31" s="48">
        <f t="shared" si="2"/>
        <v>1.119719854</v>
      </c>
      <c r="E31" s="48">
        <f>IF(MONTH($A31)=12,2.333,1)*VLOOKUP($A31,'Página22'!$A$1:$S$27,COLUMN(),TRUE)</f>
        <v>1.052631579</v>
      </c>
      <c r="F31" s="48">
        <f>IF(MONTH($A31)=12,2.333,1)*VLOOKUP($A31,'Página22'!$A$1:$S$27,COLUMN(),TRUE)</f>
        <v>1</v>
      </c>
      <c r="G31" s="48">
        <f t="shared" si="3"/>
        <v>1.254930829</v>
      </c>
      <c r="H31" s="48">
        <f>IF(MONTH($A31)=12,2.333,1)*VLOOKUP($A31,'Página22'!$A$1:$S$27,COLUMN(),TRUE)</f>
        <v>1.05001438</v>
      </c>
      <c r="I31" s="48">
        <f t="shared" si="4"/>
        <v>1.12608334</v>
      </c>
      <c r="J31" s="48">
        <f>IF(MONTH($A31)=12,2.333,1)*VLOOKUP($A31,'Página22'!$A$1:$S$27,COLUMN(),TRUE)</f>
        <v>1.05001438</v>
      </c>
      <c r="K31" s="48">
        <f>IF(MONTH($A31)=12,2.333,1)*VLOOKUP($A31,'Página22'!$A$1:$S$27,COLUMN(),TRUE)</f>
        <v>1</v>
      </c>
      <c r="L31" s="48">
        <f>VLOOKUP($A31,'Página22'!$A$1:$S$27,COLUMN(),TRUE)</f>
        <v>1.014850299</v>
      </c>
      <c r="M31" s="48">
        <f>VLOOKUP($A31,'Página22'!$A$1:$S$27,COLUMN(),TRUE)</f>
        <v>0.250605443</v>
      </c>
      <c r="N31" s="48">
        <f>VLOOKUP($A31,'Página22'!$A$1:$S$27,COLUMN(),TRUE)</f>
        <v>1.01484758</v>
      </c>
      <c r="O31" s="48">
        <f>VLOOKUP($A31,'Página22'!$A$1:$S$27,COLUMN(),TRUE)</f>
        <v>0.1165247201</v>
      </c>
      <c r="P31" s="48">
        <f>VLOOKUP($A31,'Página22'!$A$1:$S$27,COLUMN(),TRUE)</f>
        <v>1.014112061</v>
      </c>
      <c r="Q31" s="48">
        <f>VLOOKUP($A31,'Página22'!$A$1:$S$27,COLUMN(),TRUE)</f>
        <v>0.267576342</v>
      </c>
      <c r="R31" s="48">
        <f>VLOOKUP($A31,'Página22'!$A$1:$S$27,COLUMN(),TRUE)</f>
        <v>1.014109158</v>
      </c>
      <c r="S31" s="48">
        <f>VLOOKUP($A31,'Página22'!$A$1:$S$27,COLUMN(),TRUE)</f>
        <v>0.1244157269</v>
      </c>
      <c r="T31" s="73">
        <f t="shared" si="5"/>
        <v>2018</v>
      </c>
      <c r="U31" s="73">
        <f t="shared" si="6"/>
        <v>6</v>
      </c>
    </row>
    <row r="32">
      <c r="A32" s="34">
        <v>43282.0</v>
      </c>
      <c r="B32" s="48">
        <f t="shared" si="1"/>
        <v>1.240395254</v>
      </c>
      <c r="C32" s="48">
        <f>IF(MONTH($A32)=12,2.333,1)*VLOOKUP($A32,'Página22'!$A$1:$S$27,COLUMN(),TRUE)</f>
        <v>1.052631579</v>
      </c>
      <c r="D32" s="48">
        <f t="shared" si="2"/>
        <v>1.119719854</v>
      </c>
      <c r="E32" s="48">
        <f>IF(MONTH($A32)=12,2.333,1)*VLOOKUP($A32,'Página22'!$A$1:$S$27,COLUMN(),TRUE)</f>
        <v>1.052631579</v>
      </c>
      <c r="F32" s="48">
        <f>IF(MONTH($A32)=12,2.333,1)*VLOOKUP($A32,'Página22'!$A$1:$S$27,COLUMN(),TRUE)</f>
        <v>1</v>
      </c>
      <c r="G32" s="48">
        <f t="shared" si="3"/>
        <v>1.254930829</v>
      </c>
      <c r="H32" s="48">
        <f>IF(MONTH($A32)=12,2.333,1)*VLOOKUP($A32,'Página22'!$A$1:$S$27,COLUMN(),TRUE)</f>
        <v>1.05001438</v>
      </c>
      <c r="I32" s="48">
        <f t="shared" si="4"/>
        <v>1.12608334</v>
      </c>
      <c r="J32" s="48">
        <f>IF(MONTH($A32)=12,2.333,1)*VLOOKUP($A32,'Página22'!$A$1:$S$27,COLUMN(),TRUE)</f>
        <v>1.05001438</v>
      </c>
      <c r="K32" s="48">
        <f>IF(MONTH($A32)=12,2.333,1)*VLOOKUP($A32,'Página22'!$A$1:$S$27,COLUMN(),TRUE)</f>
        <v>1</v>
      </c>
      <c r="L32" s="48">
        <f>VLOOKUP($A32,'Página22'!$A$1:$S$27,COLUMN(),TRUE)</f>
        <v>1.014850299</v>
      </c>
      <c r="M32" s="48">
        <f>VLOOKUP($A32,'Página22'!$A$1:$S$27,COLUMN(),TRUE)</f>
        <v>0.250605443</v>
      </c>
      <c r="N32" s="48">
        <f>VLOOKUP($A32,'Página22'!$A$1:$S$27,COLUMN(),TRUE)</f>
        <v>1.01484758</v>
      </c>
      <c r="O32" s="48">
        <f>VLOOKUP($A32,'Página22'!$A$1:$S$27,COLUMN(),TRUE)</f>
        <v>0.1165247201</v>
      </c>
      <c r="P32" s="48">
        <f>VLOOKUP($A32,'Página22'!$A$1:$S$27,COLUMN(),TRUE)</f>
        <v>1.014112061</v>
      </c>
      <c r="Q32" s="48">
        <f>VLOOKUP($A32,'Página22'!$A$1:$S$27,COLUMN(),TRUE)</f>
        <v>0.267576342</v>
      </c>
      <c r="R32" s="48">
        <f>VLOOKUP($A32,'Página22'!$A$1:$S$27,COLUMN(),TRUE)</f>
        <v>1.014109158</v>
      </c>
      <c r="S32" s="48">
        <f>VLOOKUP($A32,'Página22'!$A$1:$S$27,COLUMN(),TRUE)</f>
        <v>0.1244157269</v>
      </c>
      <c r="T32" s="73">
        <f t="shared" si="5"/>
        <v>2018</v>
      </c>
      <c r="U32" s="73">
        <f t="shared" si="6"/>
        <v>7</v>
      </c>
    </row>
    <row r="33">
      <c r="A33" s="34">
        <v>43313.0</v>
      </c>
      <c r="B33" s="48">
        <f t="shared" si="1"/>
        <v>1.240395254</v>
      </c>
      <c r="C33" s="48">
        <f>IF(MONTH($A33)=12,2.333,1)*VLOOKUP($A33,'Página22'!$A$1:$S$27,COLUMN(),TRUE)</f>
        <v>1.052631579</v>
      </c>
      <c r="D33" s="48">
        <f t="shared" si="2"/>
        <v>1.119719854</v>
      </c>
      <c r="E33" s="48">
        <f>IF(MONTH($A33)=12,2.333,1)*VLOOKUP($A33,'Página22'!$A$1:$S$27,COLUMN(),TRUE)</f>
        <v>1.052631579</v>
      </c>
      <c r="F33" s="48">
        <f>IF(MONTH($A33)=12,2.333,1)*VLOOKUP($A33,'Página22'!$A$1:$S$27,COLUMN(),TRUE)</f>
        <v>1</v>
      </c>
      <c r="G33" s="48">
        <f t="shared" si="3"/>
        <v>1.254930829</v>
      </c>
      <c r="H33" s="48">
        <f>IF(MONTH($A33)=12,2.333,1)*VLOOKUP($A33,'Página22'!$A$1:$S$27,COLUMN(),TRUE)</f>
        <v>1.05001438</v>
      </c>
      <c r="I33" s="48">
        <f t="shared" si="4"/>
        <v>1.12608334</v>
      </c>
      <c r="J33" s="48">
        <f>IF(MONTH($A33)=12,2.333,1)*VLOOKUP($A33,'Página22'!$A$1:$S$27,COLUMN(),TRUE)</f>
        <v>1.05001438</v>
      </c>
      <c r="K33" s="48">
        <f>IF(MONTH($A33)=12,2.333,1)*VLOOKUP($A33,'Página22'!$A$1:$S$27,COLUMN(),TRUE)</f>
        <v>1</v>
      </c>
      <c r="L33" s="48">
        <f>VLOOKUP($A33,'Página22'!$A$1:$S$27,COLUMN(),TRUE)</f>
        <v>1.014850299</v>
      </c>
      <c r="M33" s="48">
        <f>VLOOKUP($A33,'Página22'!$A$1:$S$27,COLUMN(),TRUE)</f>
        <v>0.250605443</v>
      </c>
      <c r="N33" s="48">
        <f>VLOOKUP($A33,'Página22'!$A$1:$S$27,COLUMN(),TRUE)</f>
        <v>1.01484758</v>
      </c>
      <c r="O33" s="48">
        <f>VLOOKUP($A33,'Página22'!$A$1:$S$27,COLUMN(),TRUE)</f>
        <v>0.1165247201</v>
      </c>
      <c r="P33" s="48">
        <f>VLOOKUP($A33,'Página22'!$A$1:$S$27,COLUMN(),TRUE)</f>
        <v>1.014112061</v>
      </c>
      <c r="Q33" s="48">
        <f>VLOOKUP($A33,'Página22'!$A$1:$S$27,COLUMN(),TRUE)</f>
        <v>0.267576342</v>
      </c>
      <c r="R33" s="48">
        <f>VLOOKUP($A33,'Página22'!$A$1:$S$27,COLUMN(),TRUE)</f>
        <v>1.014109158</v>
      </c>
      <c r="S33" s="48">
        <f>VLOOKUP($A33,'Página22'!$A$1:$S$27,COLUMN(),TRUE)</f>
        <v>0.1244157269</v>
      </c>
      <c r="T33" s="73">
        <f t="shared" si="5"/>
        <v>2018</v>
      </c>
      <c r="U33" s="73">
        <f t="shared" si="6"/>
        <v>8</v>
      </c>
    </row>
    <row r="34">
      <c r="A34" s="34">
        <v>43344.0</v>
      </c>
      <c r="B34" s="48">
        <f t="shared" si="1"/>
        <v>1.240395254</v>
      </c>
      <c r="C34" s="48">
        <f>IF(MONTH($A34)=12,2.333,1)*VLOOKUP($A34,'Página22'!$A$1:$S$27,COLUMN(),TRUE)</f>
        <v>1.052631579</v>
      </c>
      <c r="D34" s="48">
        <f t="shared" si="2"/>
        <v>1.119719854</v>
      </c>
      <c r="E34" s="48">
        <f>IF(MONTH($A34)=12,2.333,1)*VLOOKUP($A34,'Página22'!$A$1:$S$27,COLUMN(),TRUE)</f>
        <v>1.052631579</v>
      </c>
      <c r="F34" s="48">
        <f>IF(MONTH($A34)=12,2.333,1)*VLOOKUP($A34,'Página22'!$A$1:$S$27,COLUMN(),TRUE)</f>
        <v>1</v>
      </c>
      <c r="G34" s="48">
        <f t="shared" si="3"/>
        <v>1.254930829</v>
      </c>
      <c r="H34" s="48">
        <f>IF(MONTH($A34)=12,2.333,1)*VLOOKUP($A34,'Página22'!$A$1:$S$27,COLUMN(),TRUE)</f>
        <v>1.05001438</v>
      </c>
      <c r="I34" s="48">
        <f t="shared" si="4"/>
        <v>1.12608334</v>
      </c>
      <c r="J34" s="48">
        <f>IF(MONTH($A34)=12,2.333,1)*VLOOKUP($A34,'Página22'!$A$1:$S$27,COLUMN(),TRUE)</f>
        <v>1.05001438</v>
      </c>
      <c r="K34" s="48">
        <f>IF(MONTH($A34)=12,2.333,1)*VLOOKUP($A34,'Página22'!$A$1:$S$27,COLUMN(),TRUE)</f>
        <v>1</v>
      </c>
      <c r="L34" s="48">
        <f>VLOOKUP($A34,'Página22'!$A$1:$S$27,COLUMN(),TRUE)</f>
        <v>1.014850299</v>
      </c>
      <c r="M34" s="48">
        <f>VLOOKUP($A34,'Página22'!$A$1:$S$27,COLUMN(),TRUE)</f>
        <v>0.250605443</v>
      </c>
      <c r="N34" s="48">
        <f>VLOOKUP($A34,'Página22'!$A$1:$S$27,COLUMN(),TRUE)</f>
        <v>1.01484758</v>
      </c>
      <c r="O34" s="48">
        <f>VLOOKUP($A34,'Página22'!$A$1:$S$27,COLUMN(),TRUE)</f>
        <v>0.1165247201</v>
      </c>
      <c r="P34" s="48">
        <f>VLOOKUP($A34,'Página22'!$A$1:$S$27,COLUMN(),TRUE)</f>
        <v>1.014112061</v>
      </c>
      <c r="Q34" s="48">
        <f>VLOOKUP($A34,'Página22'!$A$1:$S$27,COLUMN(),TRUE)</f>
        <v>0.267576342</v>
      </c>
      <c r="R34" s="48">
        <f>VLOOKUP($A34,'Página22'!$A$1:$S$27,COLUMN(),TRUE)</f>
        <v>1.014109158</v>
      </c>
      <c r="S34" s="48">
        <f>VLOOKUP($A34,'Página22'!$A$1:$S$27,COLUMN(),TRUE)</f>
        <v>0.1244157269</v>
      </c>
      <c r="T34" s="73">
        <f t="shared" si="5"/>
        <v>2018</v>
      </c>
      <c r="U34" s="73">
        <f t="shared" si="6"/>
        <v>9</v>
      </c>
    </row>
    <row r="35">
      <c r="A35" s="34">
        <v>43374.0</v>
      </c>
      <c r="B35" s="48">
        <f t="shared" si="1"/>
        <v>1.240395254</v>
      </c>
      <c r="C35" s="48">
        <f>IF(MONTH($A35)=12,2.333,1)*VLOOKUP($A35,'Página22'!$A$1:$S$27,COLUMN(),TRUE)</f>
        <v>1.052631579</v>
      </c>
      <c r="D35" s="48">
        <f t="shared" si="2"/>
        <v>1.119719854</v>
      </c>
      <c r="E35" s="48">
        <f>IF(MONTH($A35)=12,2.333,1)*VLOOKUP($A35,'Página22'!$A$1:$S$27,COLUMN(),TRUE)</f>
        <v>1.052631579</v>
      </c>
      <c r="F35" s="48">
        <f>IF(MONTH($A35)=12,2.333,1)*VLOOKUP($A35,'Página22'!$A$1:$S$27,COLUMN(),TRUE)</f>
        <v>1</v>
      </c>
      <c r="G35" s="48">
        <f t="shared" si="3"/>
        <v>1.254930829</v>
      </c>
      <c r="H35" s="48">
        <f>IF(MONTH($A35)=12,2.333,1)*VLOOKUP($A35,'Página22'!$A$1:$S$27,COLUMN(),TRUE)</f>
        <v>1.05001438</v>
      </c>
      <c r="I35" s="48">
        <f t="shared" si="4"/>
        <v>1.12608334</v>
      </c>
      <c r="J35" s="48">
        <f>IF(MONTH($A35)=12,2.333,1)*VLOOKUP($A35,'Página22'!$A$1:$S$27,COLUMN(),TRUE)</f>
        <v>1.05001438</v>
      </c>
      <c r="K35" s="48">
        <f>IF(MONTH($A35)=12,2.333,1)*VLOOKUP($A35,'Página22'!$A$1:$S$27,COLUMN(),TRUE)</f>
        <v>1</v>
      </c>
      <c r="L35" s="48">
        <f>VLOOKUP($A35,'Página22'!$A$1:$S$27,COLUMN(),TRUE)</f>
        <v>1.014850299</v>
      </c>
      <c r="M35" s="48">
        <f>VLOOKUP($A35,'Página22'!$A$1:$S$27,COLUMN(),TRUE)</f>
        <v>0.250605443</v>
      </c>
      <c r="N35" s="48">
        <f>VLOOKUP($A35,'Página22'!$A$1:$S$27,COLUMN(),TRUE)</f>
        <v>1.01484758</v>
      </c>
      <c r="O35" s="48">
        <f>VLOOKUP($A35,'Página22'!$A$1:$S$27,COLUMN(),TRUE)</f>
        <v>0.1165247201</v>
      </c>
      <c r="P35" s="48">
        <f>VLOOKUP($A35,'Página22'!$A$1:$S$27,COLUMN(),TRUE)</f>
        <v>1.014112061</v>
      </c>
      <c r="Q35" s="48">
        <f>VLOOKUP($A35,'Página22'!$A$1:$S$27,COLUMN(),TRUE)</f>
        <v>0.267576342</v>
      </c>
      <c r="R35" s="48">
        <f>VLOOKUP($A35,'Página22'!$A$1:$S$27,COLUMN(),TRUE)</f>
        <v>1.014109158</v>
      </c>
      <c r="S35" s="48">
        <f>VLOOKUP($A35,'Página22'!$A$1:$S$27,COLUMN(),TRUE)</f>
        <v>0.1244157269</v>
      </c>
      <c r="T35" s="73">
        <f t="shared" si="5"/>
        <v>2018</v>
      </c>
      <c r="U35" s="73">
        <f t="shared" si="6"/>
        <v>10</v>
      </c>
    </row>
    <row r="36">
      <c r="A36" s="34">
        <v>43405.0</v>
      </c>
      <c r="B36" s="48">
        <f t="shared" si="1"/>
        <v>1.240395254</v>
      </c>
      <c r="C36" s="48">
        <f>IF(MONTH($A36)=12,2.333,1)*VLOOKUP($A36,'Página22'!$A$1:$S$27,COLUMN(),TRUE)</f>
        <v>1.052631579</v>
      </c>
      <c r="D36" s="48">
        <f t="shared" si="2"/>
        <v>1.119719854</v>
      </c>
      <c r="E36" s="48">
        <f>IF(MONTH($A36)=12,2.333,1)*VLOOKUP($A36,'Página22'!$A$1:$S$27,COLUMN(),TRUE)</f>
        <v>1.052631579</v>
      </c>
      <c r="F36" s="48">
        <f>IF(MONTH($A36)=12,2.333,1)*VLOOKUP($A36,'Página22'!$A$1:$S$27,COLUMN(),TRUE)</f>
        <v>1</v>
      </c>
      <c r="G36" s="48">
        <f t="shared" si="3"/>
        <v>1.254930829</v>
      </c>
      <c r="H36" s="48">
        <f>IF(MONTH($A36)=12,2.333,1)*VLOOKUP($A36,'Página22'!$A$1:$S$27,COLUMN(),TRUE)</f>
        <v>1.05001438</v>
      </c>
      <c r="I36" s="48">
        <f t="shared" si="4"/>
        <v>1.12608334</v>
      </c>
      <c r="J36" s="48">
        <f>IF(MONTH($A36)=12,2.333,1)*VLOOKUP($A36,'Página22'!$A$1:$S$27,COLUMN(),TRUE)</f>
        <v>1.05001438</v>
      </c>
      <c r="K36" s="48">
        <f>IF(MONTH($A36)=12,2.333,1)*VLOOKUP($A36,'Página22'!$A$1:$S$27,COLUMN(),TRUE)</f>
        <v>1</v>
      </c>
      <c r="L36" s="48">
        <f>VLOOKUP($A36,'Página22'!$A$1:$S$27,COLUMN(),TRUE)</f>
        <v>1.014850299</v>
      </c>
      <c r="M36" s="48">
        <f>VLOOKUP($A36,'Página22'!$A$1:$S$27,COLUMN(),TRUE)</f>
        <v>0.250605443</v>
      </c>
      <c r="N36" s="48">
        <f>VLOOKUP($A36,'Página22'!$A$1:$S$27,COLUMN(),TRUE)</f>
        <v>1.01484758</v>
      </c>
      <c r="O36" s="48">
        <f>VLOOKUP($A36,'Página22'!$A$1:$S$27,COLUMN(),TRUE)</f>
        <v>0.1165247201</v>
      </c>
      <c r="P36" s="48">
        <f>VLOOKUP($A36,'Página22'!$A$1:$S$27,COLUMN(),TRUE)</f>
        <v>1.014112061</v>
      </c>
      <c r="Q36" s="48">
        <f>VLOOKUP($A36,'Página22'!$A$1:$S$27,COLUMN(),TRUE)</f>
        <v>0.267576342</v>
      </c>
      <c r="R36" s="48">
        <f>VLOOKUP($A36,'Página22'!$A$1:$S$27,COLUMN(),TRUE)</f>
        <v>1.014109158</v>
      </c>
      <c r="S36" s="48">
        <f>VLOOKUP($A36,'Página22'!$A$1:$S$27,COLUMN(),TRUE)</f>
        <v>0.1244157269</v>
      </c>
      <c r="T36" s="73">
        <f t="shared" si="5"/>
        <v>2018</v>
      </c>
      <c r="U36" s="73">
        <f t="shared" si="6"/>
        <v>11</v>
      </c>
    </row>
    <row r="37">
      <c r="A37" s="34">
        <v>43435.0</v>
      </c>
      <c r="B37" s="48">
        <f t="shared" si="1"/>
        <v>2.941250439</v>
      </c>
      <c r="C37" s="48">
        <f>IF(MONTH($A37)=12,2.333,1)*VLOOKUP($A37,'Página22'!$A$1:$S$27,COLUMN(),TRUE)</f>
        <v>2.455789474</v>
      </c>
      <c r="D37" s="48">
        <f t="shared" si="2"/>
        <v>2.61230642</v>
      </c>
      <c r="E37" s="48">
        <f>IF(MONTH($A37)=12,2.333,1)*VLOOKUP($A37,'Página22'!$A$1:$S$27,COLUMN(),TRUE)</f>
        <v>2.455789474</v>
      </c>
      <c r="F37" s="48">
        <f>IF(MONTH($A37)=12,2.333,1)*VLOOKUP($A37,'Página22'!$A$1:$S$27,COLUMN(),TRUE)</f>
        <v>2.333</v>
      </c>
      <c r="G37" s="48">
        <f t="shared" si="3"/>
        <v>2.978372408</v>
      </c>
      <c r="H37" s="48">
        <f>IF(MONTH($A37)=12,2.333,1)*VLOOKUP($A37,'Página22'!$A$1:$S$27,COLUMN(),TRUE)</f>
        <v>2.449683549</v>
      </c>
      <c r="I37" s="48">
        <f t="shared" si="4"/>
        <v>2.627152433</v>
      </c>
      <c r="J37" s="48">
        <f>IF(MONTH($A37)=12,2.333,1)*VLOOKUP($A37,'Página22'!$A$1:$S$27,COLUMN(),TRUE)</f>
        <v>2.449683549</v>
      </c>
      <c r="K37" s="48">
        <f>IF(MONTH($A37)=12,2.333,1)*VLOOKUP($A37,'Página22'!$A$1:$S$27,COLUMN(),TRUE)</f>
        <v>2.333</v>
      </c>
      <c r="L37" s="48">
        <f>VLOOKUP($A37,'Página22'!$A$1:$S$27,COLUMN(),TRUE)</f>
        <v>1.014850299</v>
      </c>
      <c r="M37" s="48">
        <f>VLOOKUP($A37,'Página22'!$A$1:$S$27,COLUMN(),TRUE)</f>
        <v>0.2731840496</v>
      </c>
      <c r="N37" s="48">
        <f>VLOOKUP($A37,'Página22'!$A$1:$S$27,COLUMN(),TRUE)</f>
        <v>1.01484758</v>
      </c>
      <c r="O37" s="48">
        <f>VLOOKUP($A37,'Página22'!$A$1:$S$27,COLUMN(),TRUE)</f>
        <v>0.1165247201</v>
      </c>
      <c r="P37" s="48">
        <f>VLOOKUP($A37,'Página22'!$A$1:$S$27,COLUMN(),TRUE)</f>
        <v>1.014112061</v>
      </c>
      <c r="Q37" s="48">
        <f>VLOOKUP($A37,'Página22'!$A$1:$S$27,COLUMN(),TRUE)</f>
        <v>0.2916839627</v>
      </c>
      <c r="R37" s="48">
        <f>VLOOKUP($A37,'Página22'!$A$1:$S$27,COLUMN(),TRUE)</f>
        <v>1.014109158</v>
      </c>
      <c r="S37" s="48">
        <f>VLOOKUP($A37,'Página22'!$A$1:$S$27,COLUMN(),TRUE)</f>
        <v>0.1244157269</v>
      </c>
      <c r="T37" s="73">
        <f t="shared" si="5"/>
        <v>2018</v>
      </c>
      <c r="U37" s="73">
        <f t="shared" si="6"/>
        <v>12</v>
      </c>
    </row>
    <row r="38">
      <c r="A38" s="34">
        <v>43466.0</v>
      </c>
      <c r="B38" s="48">
        <f t="shared" si="1"/>
        <v>1.234885792</v>
      </c>
      <c r="C38" s="48">
        <f>IF(MONTH($A38)=12,2.333,1)*VLOOKUP($A38,'Página22'!$A$1:$S$27,COLUMN(),TRUE)</f>
        <v>1.052631579</v>
      </c>
      <c r="D38" s="48">
        <f t="shared" si="2"/>
        <v>1.096236114</v>
      </c>
      <c r="E38" s="48">
        <f>IF(MONTH($A38)=12,2.333,1)*VLOOKUP($A38,'Página22'!$A$1:$S$27,COLUMN(),TRUE)</f>
        <v>1.052631579</v>
      </c>
      <c r="F38" s="48">
        <f>IF(MONTH($A38)=12,2.333,1)*VLOOKUP($A38,'Página22'!$A$1:$S$27,COLUMN(),TRUE)</f>
        <v>1</v>
      </c>
      <c r="G38" s="48">
        <f t="shared" si="3"/>
        <v>1.251818005</v>
      </c>
      <c r="H38" s="48">
        <f>IF(MONTH($A38)=12,2.333,1)*VLOOKUP($A38,'Página22'!$A$1:$S$27,COLUMN(),TRUE)</f>
        <v>1.050162085</v>
      </c>
      <c r="I38" s="48">
        <f t="shared" si="4"/>
        <v>1.103341323</v>
      </c>
      <c r="J38" s="48">
        <f>IF(MONTH($A38)=12,2.333,1)*VLOOKUP($A38,'Página22'!$A$1:$S$27,COLUMN(),TRUE)</f>
        <v>1.050162085</v>
      </c>
      <c r="K38" s="48">
        <f>IF(MONTH($A38)=12,2.333,1)*VLOOKUP($A38,'Página22'!$A$1:$S$27,COLUMN(),TRUE)</f>
        <v>1</v>
      </c>
      <c r="L38" s="48">
        <f>VLOOKUP($A38,'Página22'!$A$1:$S$27,COLUMN(),TRUE)</f>
        <v>0.9975896677</v>
      </c>
      <c r="M38" s="48">
        <f>VLOOKUP($A38,'Página22'!$A$1:$S$27,COLUMN(),TRUE)</f>
        <v>0.2636622948</v>
      </c>
      <c r="N38" s="48">
        <f>VLOOKUP($A38,'Página22'!$A$1:$S$27,COLUMN(),TRUE)</f>
        <v>0.9975867447</v>
      </c>
      <c r="O38" s="48">
        <f>VLOOKUP($A38,'Página22'!$A$1:$S$27,COLUMN(),TRUE)</f>
        <v>0.1096103826</v>
      </c>
      <c r="P38" s="48">
        <f>VLOOKUP($A38,'Página22'!$A$1:$S$27,COLUMN(),TRUE)</f>
        <v>0.9977024921</v>
      </c>
      <c r="Q38" s="48">
        <f>VLOOKUP($A38,'Página22'!$A$1:$S$27,COLUMN(),TRUE)</f>
        <v>0.2823504998</v>
      </c>
      <c r="R38" s="48">
        <f>VLOOKUP($A38,'Página22'!$A$1:$S$27,COLUMN(),TRUE)</f>
        <v>0.9976997532</v>
      </c>
      <c r="S38" s="48">
        <f>VLOOKUP($A38,'Página22'!$A$1:$S$27,COLUMN(),TRUE)</f>
        <v>0.1173794923</v>
      </c>
      <c r="T38" s="73">
        <f t="shared" si="5"/>
        <v>2019</v>
      </c>
      <c r="U38" s="73">
        <f t="shared" si="6"/>
        <v>1</v>
      </c>
    </row>
    <row r="39">
      <c r="A39" s="34">
        <v>43497.0</v>
      </c>
      <c r="B39" s="48">
        <f t="shared" si="1"/>
        <v>1.234885792</v>
      </c>
      <c r="C39" s="48">
        <f>IF(MONTH($A39)=12,2.333,1)*VLOOKUP($A39,'Página22'!$A$1:$S$27,COLUMN(),TRUE)</f>
        <v>1.052631579</v>
      </c>
      <c r="D39" s="48">
        <f t="shared" si="2"/>
        <v>1.096236114</v>
      </c>
      <c r="E39" s="48">
        <f>IF(MONTH($A39)=12,2.333,1)*VLOOKUP($A39,'Página22'!$A$1:$S$27,COLUMN(),TRUE)</f>
        <v>1.052631579</v>
      </c>
      <c r="F39" s="48">
        <f>IF(MONTH($A39)=12,2.333,1)*VLOOKUP($A39,'Página22'!$A$1:$S$27,COLUMN(),TRUE)</f>
        <v>1</v>
      </c>
      <c r="G39" s="48">
        <f t="shared" si="3"/>
        <v>1.251818005</v>
      </c>
      <c r="H39" s="48">
        <f>IF(MONTH($A39)=12,2.333,1)*VLOOKUP($A39,'Página22'!$A$1:$S$27,COLUMN(),TRUE)</f>
        <v>1.050162085</v>
      </c>
      <c r="I39" s="48">
        <f t="shared" si="4"/>
        <v>1.103341323</v>
      </c>
      <c r="J39" s="48">
        <f>IF(MONTH($A39)=12,2.333,1)*VLOOKUP($A39,'Página22'!$A$1:$S$27,COLUMN(),TRUE)</f>
        <v>1.050162085</v>
      </c>
      <c r="K39" s="48">
        <f>IF(MONTH($A39)=12,2.333,1)*VLOOKUP($A39,'Página22'!$A$1:$S$27,COLUMN(),TRUE)</f>
        <v>1</v>
      </c>
      <c r="L39" s="48">
        <f>VLOOKUP($A39,'Página22'!$A$1:$S$27,COLUMN(),TRUE)</f>
        <v>0.9975896677</v>
      </c>
      <c r="M39" s="48">
        <f>VLOOKUP($A39,'Página22'!$A$1:$S$27,COLUMN(),TRUE)</f>
        <v>0.2636622948</v>
      </c>
      <c r="N39" s="48">
        <f>VLOOKUP($A39,'Página22'!$A$1:$S$27,COLUMN(),TRUE)</f>
        <v>0.9975867447</v>
      </c>
      <c r="O39" s="48">
        <f>VLOOKUP($A39,'Página22'!$A$1:$S$27,COLUMN(),TRUE)</f>
        <v>0.1096103826</v>
      </c>
      <c r="P39" s="48">
        <f>VLOOKUP($A39,'Página22'!$A$1:$S$27,COLUMN(),TRUE)</f>
        <v>0.9977024921</v>
      </c>
      <c r="Q39" s="48">
        <f>VLOOKUP($A39,'Página22'!$A$1:$S$27,COLUMN(),TRUE)</f>
        <v>0.2823504998</v>
      </c>
      <c r="R39" s="48">
        <f>VLOOKUP($A39,'Página22'!$A$1:$S$27,COLUMN(),TRUE)</f>
        <v>0.9976997532</v>
      </c>
      <c r="S39" s="48">
        <f>VLOOKUP($A39,'Página22'!$A$1:$S$27,COLUMN(),TRUE)</f>
        <v>0.1173794923</v>
      </c>
      <c r="T39" s="73">
        <f t="shared" si="5"/>
        <v>2019</v>
      </c>
      <c r="U39" s="73">
        <f t="shared" si="6"/>
        <v>2</v>
      </c>
    </row>
    <row r="40">
      <c r="A40" s="34">
        <v>43525.0</v>
      </c>
      <c r="B40" s="48">
        <f t="shared" si="1"/>
        <v>1.234885792</v>
      </c>
      <c r="C40" s="48">
        <f>IF(MONTH($A40)=12,2.333,1)*VLOOKUP($A40,'Página22'!$A$1:$S$27,COLUMN(),TRUE)</f>
        <v>1.052631579</v>
      </c>
      <c r="D40" s="48">
        <f t="shared" si="2"/>
        <v>1.096236114</v>
      </c>
      <c r="E40" s="48">
        <f>IF(MONTH($A40)=12,2.333,1)*VLOOKUP($A40,'Página22'!$A$1:$S$27,COLUMN(),TRUE)</f>
        <v>1.052631579</v>
      </c>
      <c r="F40" s="48">
        <f>IF(MONTH($A40)=12,2.333,1)*VLOOKUP($A40,'Página22'!$A$1:$S$27,COLUMN(),TRUE)</f>
        <v>1</v>
      </c>
      <c r="G40" s="48">
        <f t="shared" si="3"/>
        <v>1.251818005</v>
      </c>
      <c r="H40" s="48">
        <f>IF(MONTH($A40)=12,2.333,1)*VLOOKUP($A40,'Página22'!$A$1:$S$27,COLUMN(),TRUE)</f>
        <v>1.050162085</v>
      </c>
      <c r="I40" s="48">
        <f t="shared" si="4"/>
        <v>1.103341323</v>
      </c>
      <c r="J40" s="48">
        <f>IF(MONTH($A40)=12,2.333,1)*VLOOKUP($A40,'Página22'!$A$1:$S$27,COLUMN(),TRUE)</f>
        <v>1.050162085</v>
      </c>
      <c r="K40" s="48">
        <f>IF(MONTH($A40)=12,2.333,1)*VLOOKUP($A40,'Página22'!$A$1:$S$27,COLUMN(),TRUE)</f>
        <v>1</v>
      </c>
      <c r="L40" s="48">
        <f>VLOOKUP($A40,'Página22'!$A$1:$S$27,COLUMN(),TRUE)</f>
        <v>0.9975896677</v>
      </c>
      <c r="M40" s="48">
        <f>VLOOKUP($A40,'Página22'!$A$1:$S$27,COLUMN(),TRUE)</f>
        <v>0.2636622948</v>
      </c>
      <c r="N40" s="48">
        <f>VLOOKUP($A40,'Página22'!$A$1:$S$27,COLUMN(),TRUE)</f>
        <v>0.9975867447</v>
      </c>
      <c r="O40" s="48">
        <f>VLOOKUP($A40,'Página22'!$A$1:$S$27,COLUMN(),TRUE)</f>
        <v>0.1096103826</v>
      </c>
      <c r="P40" s="48">
        <f>VLOOKUP($A40,'Página22'!$A$1:$S$27,COLUMN(),TRUE)</f>
        <v>0.9977024921</v>
      </c>
      <c r="Q40" s="48">
        <f>VLOOKUP($A40,'Página22'!$A$1:$S$27,COLUMN(),TRUE)</f>
        <v>0.2823504998</v>
      </c>
      <c r="R40" s="48">
        <f>VLOOKUP($A40,'Página22'!$A$1:$S$27,COLUMN(),TRUE)</f>
        <v>0.9976997532</v>
      </c>
      <c r="S40" s="48">
        <f>VLOOKUP($A40,'Página22'!$A$1:$S$27,COLUMN(),TRUE)</f>
        <v>0.1173794923</v>
      </c>
      <c r="T40" s="73">
        <f t="shared" si="5"/>
        <v>2019</v>
      </c>
      <c r="U40" s="73">
        <f t="shared" si="6"/>
        <v>3</v>
      </c>
    </row>
    <row r="41">
      <c r="A41" s="34">
        <v>43556.0</v>
      </c>
      <c r="B41" s="48">
        <f t="shared" si="1"/>
        <v>1.234885792</v>
      </c>
      <c r="C41" s="48">
        <f>IF(MONTH($A41)=12,2.333,1)*VLOOKUP($A41,'Página22'!$A$1:$S$27,COLUMN(),TRUE)</f>
        <v>1.052631579</v>
      </c>
      <c r="D41" s="48">
        <f t="shared" si="2"/>
        <v>1.096236114</v>
      </c>
      <c r="E41" s="48">
        <f>IF(MONTH($A41)=12,2.333,1)*VLOOKUP($A41,'Página22'!$A$1:$S$27,COLUMN(),TRUE)</f>
        <v>1.052631579</v>
      </c>
      <c r="F41" s="48">
        <f>IF(MONTH($A41)=12,2.333,1)*VLOOKUP($A41,'Página22'!$A$1:$S$27,COLUMN(),TRUE)</f>
        <v>1</v>
      </c>
      <c r="G41" s="48">
        <f t="shared" si="3"/>
        <v>1.251818005</v>
      </c>
      <c r="H41" s="48">
        <f>IF(MONTH($A41)=12,2.333,1)*VLOOKUP($A41,'Página22'!$A$1:$S$27,COLUMN(),TRUE)</f>
        <v>1.050162085</v>
      </c>
      <c r="I41" s="48">
        <f t="shared" si="4"/>
        <v>1.103341323</v>
      </c>
      <c r="J41" s="48">
        <f>IF(MONTH($A41)=12,2.333,1)*VLOOKUP($A41,'Página22'!$A$1:$S$27,COLUMN(),TRUE)</f>
        <v>1.050162085</v>
      </c>
      <c r="K41" s="48">
        <f>IF(MONTH($A41)=12,2.333,1)*VLOOKUP($A41,'Página22'!$A$1:$S$27,COLUMN(),TRUE)</f>
        <v>1</v>
      </c>
      <c r="L41" s="48">
        <f>VLOOKUP($A41,'Página22'!$A$1:$S$27,COLUMN(),TRUE)</f>
        <v>0.9975896677</v>
      </c>
      <c r="M41" s="48">
        <f>VLOOKUP($A41,'Página22'!$A$1:$S$27,COLUMN(),TRUE)</f>
        <v>0.2636622948</v>
      </c>
      <c r="N41" s="48">
        <f>VLOOKUP($A41,'Página22'!$A$1:$S$27,COLUMN(),TRUE)</f>
        <v>0.9975867447</v>
      </c>
      <c r="O41" s="48">
        <f>VLOOKUP($A41,'Página22'!$A$1:$S$27,COLUMN(),TRUE)</f>
        <v>0.1096103826</v>
      </c>
      <c r="P41" s="48">
        <f>VLOOKUP($A41,'Página22'!$A$1:$S$27,COLUMN(),TRUE)</f>
        <v>0.9977024921</v>
      </c>
      <c r="Q41" s="48">
        <f>VLOOKUP($A41,'Página22'!$A$1:$S$27,COLUMN(),TRUE)</f>
        <v>0.2823504998</v>
      </c>
      <c r="R41" s="48">
        <f>VLOOKUP($A41,'Página22'!$A$1:$S$27,COLUMN(),TRUE)</f>
        <v>0.9976997532</v>
      </c>
      <c r="S41" s="48">
        <f>VLOOKUP($A41,'Página22'!$A$1:$S$27,COLUMN(),TRUE)</f>
        <v>0.1173794923</v>
      </c>
      <c r="T41" s="73">
        <f t="shared" si="5"/>
        <v>2019</v>
      </c>
      <c r="U41" s="73">
        <f t="shared" si="6"/>
        <v>4</v>
      </c>
    </row>
    <row r="42">
      <c r="A42" s="34">
        <v>43586.0</v>
      </c>
      <c r="B42" s="48">
        <f t="shared" si="1"/>
        <v>1.234885792</v>
      </c>
      <c r="C42" s="48">
        <f>IF(MONTH($A42)=12,2.333,1)*VLOOKUP($A42,'Página22'!$A$1:$S$27,COLUMN(),TRUE)</f>
        <v>1.052631579</v>
      </c>
      <c r="D42" s="48">
        <f t="shared" si="2"/>
        <v>1.096236114</v>
      </c>
      <c r="E42" s="48">
        <f>IF(MONTH($A42)=12,2.333,1)*VLOOKUP($A42,'Página22'!$A$1:$S$27,COLUMN(),TRUE)</f>
        <v>1.052631579</v>
      </c>
      <c r="F42" s="48">
        <f>IF(MONTH($A42)=12,2.333,1)*VLOOKUP($A42,'Página22'!$A$1:$S$27,COLUMN(),TRUE)</f>
        <v>1</v>
      </c>
      <c r="G42" s="48">
        <f t="shared" si="3"/>
        <v>1.251818005</v>
      </c>
      <c r="H42" s="48">
        <f>IF(MONTH($A42)=12,2.333,1)*VLOOKUP($A42,'Página22'!$A$1:$S$27,COLUMN(),TRUE)</f>
        <v>1.050162085</v>
      </c>
      <c r="I42" s="48">
        <f t="shared" si="4"/>
        <v>1.103341323</v>
      </c>
      <c r="J42" s="48">
        <f>IF(MONTH($A42)=12,2.333,1)*VLOOKUP($A42,'Página22'!$A$1:$S$27,COLUMN(),TRUE)</f>
        <v>1.050162085</v>
      </c>
      <c r="K42" s="48">
        <f>IF(MONTH($A42)=12,2.333,1)*VLOOKUP($A42,'Página22'!$A$1:$S$27,COLUMN(),TRUE)</f>
        <v>1</v>
      </c>
      <c r="L42" s="48">
        <f>VLOOKUP($A42,'Página22'!$A$1:$S$27,COLUMN(),TRUE)</f>
        <v>0.9975896677</v>
      </c>
      <c r="M42" s="48">
        <f>VLOOKUP($A42,'Página22'!$A$1:$S$27,COLUMN(),TRUE)</f>
        <v>0.2636622948</v>
      </c>
      <c r="N42" s="48">
        <f>VLOOKUP($A42,'Página22'!$A$1:$S$27,COLUMN(),TRUE)</f>
        <v>0.9975867447</v>
      </c>
      <c r="O42" s="48">
        <f>VLOOKUP($A42,'Página22'!$A$1:$S$27,COLUMN(),TRUE)</f>
        <v>0.1096103826</v>
      </c>
      <c r="P42" s="48">
        <f>VLOOKUP($A42,'Página22'!$A$1:$S$27,COLUMN(),TRUE)</f>
        <v>0.9977024921</v>
      </c>
      <c r="Q42" s="48">
        <f>VLOOKUP($A42,'Página22'!$A$1:$S$27,COLUMN(),TRUE)</f>
        <v>0.2823504998</v>
      </c>
      <c r="R42" s="48">
        <f>VLOOKUP($A42,'Página22'!$A$1:$S$27,COLUMN(),TRUE)</f>
        <v>0.9976997532</v>
      </c>
      <c r="S42" s="48">
        <f>VLOOKUP($A42,'Página22'!$A$1:$S$27,COLUMN(),TRUE)</f>
        <v>0.1173794923</v>
      </c>
      <c r="T42" s="73">
        <f t="shared" si="5"/>
        <v>2019</v>
      </c>
      <c r="U42" s="73">
        <f t="shared" si="6"/>
        <v>5</v>
      </c>
    </row>
    <row r="43">
      <c r="A43" s="34">
        <v>43617.0</v>
      </c>
      <c r="B43" s="48">
        <f t="shared" si="1"/>
        <v>1.234885792</v>
      </c>
      <c r="C43" s="48">
        <f>IF(MONTH($A43)=12,2.333,1)*VLOOKUP($A43,'Página22'!$A$1:$S$27,COLUMN(),TRUE)</f>
        <v>1.052631579</v>
      </c>
      <c r="D43" s="48">
        <f t="shared" si="2"/>
        <v>1.096236114</v>
      </c>
      <c r="E43" s="48">
        <f>IF(MONTH($A43)=12,2.333,1)*VLOOKUP($A43,'Página22'!$A$1:$S$27,COLUMN(),TRUE)</f>
        <v>1.052631579</v>
      </c>
      <c r="F43" s="48">
        <f>IF(MONTH($A43)=12,2.333,1)*VLOOKUP($A43,'Página22'!$A$1:$S$27,COLUMN(),TRUE)</f>
        <v>1</v>
      </c>
      <c r="G43" s="48">
        <f t="shared" si="3"/>
        <v>1.251818005</v>
      </c>
      <c r="H43" s="48">
        <f>IF(MONTH($A43)=12,2.333,1)*VLOOKUP($A43,'Página22'!$A$1:$S$27,COLUMN(),TRUE)</f>
        <v>1.050162085</v>
      </c>
      <c r="I43" s="48">
        <f t="shared" si="4"/>
        <v>1.103341323</v>
      </c>
      <c r="J43" s="48">
        <f>IF(MONTH($A43)=12,2.333,1)*VLOOKUP($A43,'Página22'!$A$1:$S$27,COLUMN(),TRUE)</f>
        <v>1.050162085</v>
      </c>
      <c r="K43" s="48">
        <f>IF(MONTH($A43)=12,2.333,1)*VLOOKUP($A43,'Página22'!$A$1:$S$27,COLUMN(),TRUE)</f>
        <v>1</v>
      </c>
      <c r="L43" s="48">
        <f>VLOOKUP($A43,'Página22'!$A$1:$S$27,COLUMN(),TRUE)</f>
        <v>0.9975896677</v>
      </c>
      <c r="M43" s="48">
        <f>VLOOKUP($A43,'Página22'!$A$1:$S$27,COLUMN(),TRUE)</f>
        <v>0.2636622948</v>
      </c>
      <c r="N43" s="48">
        <f>VLOOKUP($A43,'Página22'!$A$1:$S$27,COLUMN(),TRUE)</f>
        <v>0.9975867447</v>
      </c>
      <c r="O43" s="48">
        <f>VLOOKUP($A43,'Página22'!$A$1:$S$27,COLUMN(),TRUE)</f>
        <v>0.1096103826</v>
      </c>
      <c r="P43" s="48">
        <f>VLOOKUP($A43,'Página22'!$A$1:$S$27,COLUMN(),TRUE)</f>
        <v>0.9977024921</v>
      </c>
      <c r="Q43" s="48">
        <f>VLOOKUP($A43,'Página22'!$A$1:$S$27,COLUMN(),TRUE)</f>
        <v>0.2823504998</v>
      </c>
      <c r="R43" s="48">
        <f>VLOOKUP($A43,'Página22'!$A$1:$S$27,COLUMN(),TRUE)</f>
        <v>0.9976997532</v>
      </c>
      <c r="S43" s="48">
        <f>VLOOKUP($A43,'Página22'!$A$1:$S$27,COLUMN(),TRUE)</f>
        <v>0.1173794923</v>
      </c>
      <c r="T43" s="73">
        <f t="shared" si="5"/>
        <v>2019</v>
      </c>
      <c r="U43" s="73">
        <f t="shared" si="6"/>
        <v>6</v>
      </c>
    </row>
    <row r="44">
      <c r="A44" s="34">
        <v>43647.0</v>
      </c>
      <c r="B44" s="48">
        <f t="shared" si="1"/>
        <v>1.234885792</v>
      </c>
      <c r="C44" s="48">
        <f>IF(MONTH($A44)=12,2.333,1)*VLOOKUP($A44,'Página22'!$A$1:$S$27,COLUMN(),TRUE)</f>
        <v>1.052631579</v>
      </c>
      <c r="D44" s="48">
        <f t="shared" si="2"/>
        <v>1.096236114</v>
      </c>
      <c r="E44" s="48">
        <f>IF(MONTH($A44)=12,2.333,1)*VLOOKUP($A44,'Página22'!$A$1:$S$27,COLUMN(),TRUE)</f>
        <v>1.052631579</v>
      </c>
      <c r="F44" s="48">
        <f>IF(MONTH($A44)=12,2.333,1)*VLOOKUP($A44,'Página22'!$A$1:$S$27,COLUMN(),TRUE)</f>
        <v>1</v>
      </c>
      <c r="G44" s="48">
        <f t="shared" si="3"/>
        <v>1.251818005</v>
      </c>
      <c r="H44" s="48">
        <f>IF(MONTH($A44)=12,2.333,1)*VLOOKUP($A44,'Página22'!$A$1:$S$27,COLUMN(),TRUE)</f>
        <v>1.050162085</v>
      </c>
      <c r="I44" s="48">
        <f t="shared" si="4"/>
        <v>1.103341323</v>
      </c>
      <c r="J44" s="48">
        <f>IF(MONTH($A44)=12,2.333,1)*VLOOKUP($A44,'Página22'!$A$1:$S$27,COLUMN(),TRUE)</f>
        <v>1.050162085</v>
      </c>
      <c r="K44" s="48">
        <f>IF(MONTH($A44)=12,2.333,1)*VLOOKUP($A44,'Página22'!$A$1:$S$27,COLUMN(),TRUE)</f>
        <v>1</v>
      </c>
      <c r="L44" s="48">
        <f>VLOOKUP($A44,'Página22'!$A$1:$S$27,COLUMN(),TRUE)</f>
        <v>0.9975896677</v>
      </c>
      <c r="M44" s="48">
        <f>VLOOKUP($A44,'Página22'!$A$1:$S$27,COLUMN(),TRUE)</f>
        <v>0.2636622948</v>
      </c>
      <c r="N44" s="48">
        <f>VLOOKUP($A44,'Página22'!$A$1:$S$27,COLUMN(),TRUE)</f>
        <v>0.9975867447</v>
      </c>
      <c r="O44" s="48">
        <f>VLOOKUP($A44,'Página22'!$A$1:$S$27,COLUMN(),TRUE)</f>
        <v>0.1096103826</v>
      </c>
      <c r="P44" s="48">
        <f>VLOOKUP($A44,'Página22'!$A$1:$S$27,COLUMN(),TRUE)</f>
        <v>0.9977024921</v>
      </c>
      <c r="Q44" s="48">
        <f>VLOOKUP($A44,'Página22'!$A$1:$S$27,COLUMN(),TRUE)</f>
        <v>0.2823504998</v>
      </c>
      <c r="R44" s="48">
        <f>VLOOKUP($A44,'Página22'!$A$1:$S$27,COLUMN(),TRUE)</f>
        <v>0.9976997532</v>
      </c>
      <c r="S44" s="48">
        <f>VLOOKUP($A44,'Página22'!$A$1:$S$27,COLUMN(),TRUE)</f>
        <v>0.1173794923</v>
      </c>
      <c r="T44" s="73">
        <f t="shared" si="5"/>
        <v>2019</v>
      </c>
      <c r="U44" s="73">
        <f t="shared" si="6"/>
        <v>7</v>
      </c>
    </row>
    <row r="45">
      <c r="A45" s="34">
        <v>43678.0</v>
      </c>
      <c r="B45" s="48">
        <f t="shared" si="1"/>
        <v>1.234885792</v>
      </c>
      <c r="C45" s="48">
        <f>IF(MONTH($A45)=12,2.333,1)*VLOOKUP($A45,'Página22'!$A$1:$S$27,COLUMN(),TRUE)</f>
        <v>1.052631579</v>
      </c>
      <c r="D45" s="48">
        <f t="shared" si="2"/>
        <v>1.096236114</v>
      </c>
      <c r="E45" s="48">
        <f>IF(MONTH($A45)=12,2.333,1)*VLOOKUP($A45,'Página22'!$A$1:$S$27,COLUMN(),TRUE)</f>
        <v>1.052631579</v>
      </c>
      <c r="F45" s="48">
        <f>IF(MONTH($A45)=12,2.333,1)*VLOOKUP($A45,'Página22'!$A$1:$S$27,COLUMN(),TRUE)</f>
        <v>1</v>
      </c>
      <c r="G45" s="48">
        <f t="shared" si="3"/>
        <v>1.251818005</v>
      </c>
      <c r="H45" s="48">
        <f>IF(MONTH($A45)=12,2.333,1)*VLOOKUP($A45,'Página22'!$A$1:$S$27,COLUMN(),TRUE)</f>
        <v>1.050162085</v>
      </c>
      <c r="I45" s="48">
        <f t="shared" si="4"/>
        <v>1.103341323</v>
      </c>
      <c r="J45" s="48">
        <f>IF(MONTH($A45)=12,2.333,1)*VLOOKUP($A45,'Página22'!$A$1:$S$27,COLUMN(),TRUE)</f>
        <v>1.050162085</v>
      </c>
      <c r="K45" s="48">
        <f>IF(MONTH($A45)=12,2.333,1)*VLOOKUP($A45,'Página22'!$A$1:$S$27,COLUMN(),TRUE)</f>
        <v>1</v>
      </c>
      <c r="L45" s="48">
        <f>VLOOKUP($A45,'Página22'!$A$1:$S$27,COLUMN(),TRUE)</f>
        <v>0.9975896677</v>
      </c>
      <c r="M45" s="48">
        <f>VLOOKUP($A45,'Página22'!$A$1:$S$27,COLUMN(),TRUE)</f>
        <v>0.2636622948</v>
      </c>
      <c r="N45" s="48">
        <f>VLOOKUP($A45,'Página22'!$A$1:$S$27,COLUMN(),TRUE)</f>
        <v>0.9975867447</v>
      </c>
      <c r="O45" s="48">
        <f>VLOOKUP($A45,'Página22'!$A$1:$S$27,COLUMN(),TRUE)</f>
        <v>0.1096103826</v>
      </c>
      <c r="P45" s="48">
        <f>VLOOKUP($A45,'Página22'!$A$1:$S$27,COLUMN(),TRUE)</f>
        <v>0.9977024921</v>
      </c>
      <c r="Q45" s="48">
        <f>VLOOKUP($A45,'Página22'!$A$1:$S$27,COLUMN(),TRUE)</f>
        <v>0.2823504998</v>
      </c>
      <c r="R45" s="48">
        <f>VLOOKUP($A45,'Página22'!$A$1:$S$27,COLUMN(),TRUE)</f>
        <v>0.9976997532</v>
      </c>
      <c r="S45" s="48">
        <f>VLOOKUP($A45,'Página22'!$A$1:$S$27,COLUMN(),TRUE)</f>
        <v>0.1173794923</v>
      </c>
      <c r="T45" s="73">
        <f t="shared" si="5"/>
        <v>2019</v>
      </c>
      <c r="U45" s="73">
        <f t="shared" si="6"/>
        <v>8</v>
      </c>
    </row>
    <row r="46">
      <c r="A46" s="34">
        <v>43709.0</v>
      </c>
      <c r="B46" s="48">
        <f t="shared" si="1"/>
        <v>1.234885792</v>
      </c>
      <c r="C46" s="48">
        <f>IF(MONTH($A46)=12,2.333,1)*VLOOKUP($A46,'Página22'!$A$1:$S$27,COLUMN(),TRUE)</f>
        <v>1.052631579</v>
      </c>
      <c r="D46" s="48">
        <f t="shared" si="2"/>
        <v>1.096236114</v>
      </c>
      <c r="E46" s="48">
        <f>IF(MONTH($A46)=12,2.333,1)*VLOOKUP($A46,'Página22'!$A$1:$S$27,COLUMN(),TRUE)</f>
        <v>1.052631579</v>
      </c>
      <c r="F46" s="48">
        <f>IF(MONTH($A46)=12,2.333,1)*VLOOKUP($A46,'Página22'!$A$1:$S$27,COLUMN(),TRUE)</f>
        <v>1</v>
      </c>
      <c r="G46" s="48">
        <f t="shared" si="3"/>
        <v>1.251818005</v>
      </c>
      <c r="H46" s="48">
        <f>IF(MONTH($A46)=12,2.333,1)*VLOOKUP($A46,'Página22'!$A$1:$S$27,COLUMN(),TRUE)</f>
        <v>1.050162085</v>
      </c>
      <c r="I46" s="48">
        <f t="shared" si="4"/>
        <v>1.103341323</v>
      </c>
      <c r="J46" s="48">
        <f>IF(MONTH($A46)=12,2.333,1)*VLOOKUP($A46,'Página22'!$A$1:$S$27,COLUMN(),TRUE)</f>
        <v>1.050162085</v>
      </c>
      <c r="K46" s="48">
        <f>IF(MONTH($A46)=12,2.333,1)*VLOOKUP($A46,'Página22'!$A$1:$S$27,COLUMN(),TRUE)</f>
        <v>1</v>
      </c>
      <c r="L46" s="48">
        <f>VLOOKUP($A46,'Página22'!$A$1:$S$27,COLUMN(),TRUE)</f>
        <v>0.9975896677</v>
      </c>
      <c r="M46" s="48">
        <f>VLOOKUP($A46,'Página22'!$A$1:$S$27,COLUMN(),TRUE)</f>
        <v>0.2636622948</v>
      </c>
      <c r="N46" s="48">
        <f>VLOOKUP($A46,'Página22'!$A$1:$S$27,COLUMN(),TRUE)</f>
        <v>0.9975867447</v>
      </c>
      <c r="O46" s="48">
        <f>VLOOKUP($A46,'Página22'!$A$1:$S$27,COLUMN(),TRUE)</f>
        <v>0.1096103826</v>
      </c>
      <c r="P46" s="48">
        <f>VLOOKUP($A46,'Página22'!$A$1:$S$27,COLUMN(),TRUE)</f>
        <v>0.9977024921</v>
      </c>
      <c r="Q46" s="48">
        <f>VLOOKUP($A46,'Página22'!$A$1:$S$27,COLUMN(),TRUE)</f>
        <v>0.2823504998</v>
      </c>
      <c r="R46" s="48">
        <f>VLOOKUP($A46,'Página22'!$A$1:$S$27,COLUMN(),TRUE)</f>
        <v>0.9976997532</v>
      </c>
      <c r="S46" s="48">
        <f>VLOOKUP($A46,'Página22'!$A$1:$S$27,COLUMN(),TRUE)</f>
        <v>0.1173794923</v>
      </c>
      <c r="T46" s="73">
        <f t="shared" si="5"/>
        <v>2019</v>
      </c>
      <c r="U46" s="73">
        <f t="shared" si="6"/>
        <v>9</v>
      </c>
    </row>
    <row r="47">
      <c r="A47" s="34">
        <v>43739.0</v>
      </c>
      <c r="B47" s="48">
        <f t="shared" si="1"/>
        <v>1.234885792</v>
      </c>
      <c r="C47" s="48">
        <f>IF(MONTH($A47)=12,2.333,1)*VLOOKUP($A47,'Página22'!$A$1:$S$27,COLUMN(),TRUE)</f>
        <v>1.052631579</v>
      </c>
      <c r="D47" s="48">
        <f t="shared" si="2"/>
        <v>1.096236114</v>
      </c>
      <c r="E47" s="48">
        <f>IF(MONTH($A47)=12,2.333,1)*VLOOKUP($A47,'Página22'!$A$1:$S$27,COLUMN(),TRUE)</f>
        <v>1.052631579</v>
      </c>
      <c r="F47" s="48">
        <f>IF(MONTH($A47)=12,2.333,1)*VLOOKUP($A47,'Página22'!$A$1:$S$27,COLUMN(),TRUE)</f>
        <v>1</v>
      </c>
      <c r="G47" s="48">
        <f t="shared" si="3"/>
        <v>1.251818005</v>
      </c>
      <c r="H47" s="48">
        <f>IF(MONTH($A47)=12,2.333,1)*VLOOKUP($A47,'Página22'!$A$1:$S$27,COLUMN(),TRUE)</f>
        <v>1.050162085</v>
      </c>
      <c r="I47" s="48">
        <f t="shared" si="4"/>
        <v>1.103341323</v>
      </c>
      <c r="J47" s="48">
        <f>IF(MONTH($A47)=12,2.333,1)*VLOOKUP($A47,'Página22'!$A$1:$S$27,COLUMN(),TRUE)</f>
        <v>1.050162085</v>
      </c>
      <c r="K47" s="48">
        <f>IF(MONTH($A47)=12,2.333,1)*VLOOKUP($A47,'Página22'!$A$1:$S$27,COLUMN(),TRUE)</f>
        <v>1</v>
      </c>
      <c r="L47" s="48">
        <f>VLOOKUP($A47,'Página22'!$A$1:$S$27,COLUMN(),TRUE)</f>
        <v>0.9975896677</v>
      </c>
      <c r="M47" s="48">
        <f>VLOOKUP($A47,'Página22'!$A$1:$S$27,COLUMN(),TRUE)</f>
        <v>0.2636622948</v>
      </c>
      <c r="N47" s="48">
        <f>VLOOKUP($A47,'Página22'!$A$1:$S$27,COLUMN(),TRUE)</f>
        <v>0.9975867447</v>
      </c>
      <c r="O47" s="48">
        <f>VLOOKUP($A47,'Página22'!$A$1:$S$27,COLUMN(),TRUE)</f>
        <v>0.1096103826</v>
      </c>
      <c r="P47" s="48">
        <f>VLOOKUP($A47,'Página22'!$A$1:$S$27,COLUMN(),TRUE)</f>
        <v>0.9977024921</v>
      </c>
      <c r="Q47" s="48">
        <f>VLOOKUP($A47,'Página22'!$A$1:$S$27,COLUMN(),TRUE)</f>
        <v>0.2823504998</v>
      </c>
      <c r="R47" s="48">
        <f>VLOOKUP($A47,'Página22'!$A$1:$S$27,COLUMN(),TRUE)</f>
        <v>0.9976997532</v>
      </c>
      <c r="S47" s="48">
        <f>VLOOKUP($A47,'Página22'!$A$1:$S$27,COLUMN(),TRUE)</f>
        <v>0.1173794923</v>
      </c>
      <c r="T47" s="73">
        <f t="shared" si="5"/>
        <v>2019</v>
      </c>
      <c r="U47" s="73">
        <f t="shared" si="6"/>
        <v>10</v>
      </c>
    </row>
    <row r="48">
      <c r="A48" s="34">
        <v>43770.0</v>
      </c>
      <c r="B48" s="48">
        <f t="shared" si="1"/>
        <v>1.234885792</v>
      </c>
      <c r="C48" s="48">
        <f>IF(MONTH($A48)=12,2.333,1)*VLOOKUP($A48,'Página22'!$A$1:$S$27,COLUMN(),TRUE)</f>
        <v>1.052631579</v>
      </c>
      <c r="D48" s="48">
        <f t="shared" si="2"/>
        <v>1.096236114</v>
      </c>
      <c r="E48" s="48">
        <f>IF(MONTH($A48)=12,2.333,1)*VLOOKUP($A48,'Página22'!$A$1:$S$27,COLUMN(),TRUE)</f>
        <v>1.052631579</v>
      </c>
      <c r="F48" s="48">
        <f>IF(MONTH($A48)=12,2.333,1)*VLOOKUP($A48,'Página22'!$A$1:$S$27,COLUMN(),TRUE)</f>
        <v>1</v>
      </c>
      <c r="G48" s="48">
        <f t="shared" si="3"/>
        <v>1.251818005</v>
      </c>
      <c r="H48" s="48">
        <f>IF(MONTH($A48)=12,2.333,1)*VLOOKUP($A48,'Página22'!$A$1:$S$27,COLUMN(),TRUE)</f>
        <v>1.050162085</v>
      </c>
      <c r="I48" s="48">
        <f t="shared" si="4"/>
        <v>1.103341323</v>
      </c>
      <c r="J48" s="48">
        <f>IF(MONTH($A48)=12,2.333,1)*VLOOKUP($A48,'Página22'!$A$1:$S$27,COLUMN(),TRUE)</f>
        <v>1.050162085</v>
      </c>
      <c r="K48" s="48">
        <f>IF(MONTH($A48)=12,2.333,1)*VLOOKUP($A48,'Página22'!$A$1:$S$27,COLUMN(),TRUE)</f>
        <v>1</v>
      </c>
      <c r="L48" s="48">
        <f>VLOOKUP($A48,'Página22'!$A$1:$S$27,COLUMN(),TRUE)</f>
        <v>0.9975896677</v>
      </c>
      <c r="M48" s="48">
        <f>VLOOKUP($A48,'Página22'!$A$1:$S$27,COLUMN(),TRUE)</f>
        <v>0.2636622948</v>
      </c>
      <c r="N48" s="48">
        <f>VLOOKUP($A48,'Página22'!$A$1:$S$27,COLUMN(),TRUE)</f>
        <v>0.9975867447</v>
      </c>
      <c r="O48" s="48">
        <f>VLOOKUP($A48,'Página22'!$A$1:$S$27,COLUMN(),TRUE)</f>
        <v>0.1096103826</v>
      </c>
      <c r="P48" s="48">
        <f>VLOOKUP($A48,'Página22'!$A$1:$S$27,COLUMN(),TRUE)</f>
        <v>0.9977024921</v>
      </c>
      <c r="Q48" s="48">
        <f>VLOOKUP($A48,'Página22'!$A$1:$S$27,COLUMN(),TRUE)</f>
        <v>0.2823504998</v>
      </c>
      <c r="R48" s="48">
        <f>VLOOKUP($A48,'Página22'!$A$1:$S$27,COLUMN(),TRUE)</f>
        <v>0.9976997532</v>
      </c>
      <c r="S48" s="48">
        <f>VLOOKUP($A48,'Página22'!$A$1:$S$27,COLUMN(),TRUE)</f>
        <v>0.1173794923</v>
      </c>
      <c r="T48" s="73">
        <f t="shared" si="5"/>
        <v>2019</v>
      </c>
      <c r="U48" s="73">
        <f t="shared" si="6"/>
        <v>11</v>
      </c>
    </row>
    <row r="49">
      <c r="A49" s="34">
        <v>43800.0</v>
      </c>
      <c r="B49" s="48">
        <f t="shared" si="1"/>
        <v>2.880988553</v>
      </c>
      <c r="C49" s="48">
        <f>IF(MONTH($A49)=12,2.333,1)*VLOOKUP($A49,'Página22'!$A$1:$S$27,COLUMN(),TRUE)</f>
        <v>2.455789474</v>
      </c>
      <c r="D49" s="48">
        <f t="shared" si="2"/>
        <v>2.557518853</v>
      </c>
      <c r="E49" s="48">
        <f>IF(MONTH($A49)=12,2.333,1)*VLOOKUP($A49,'Página22'!$A$1:$S$27,COLUMN(),TRUE)</f>
        <v>2.455789474</v>
      </c>
      <c r="F49" s="48">
        <f>IF(MONTH($A49)=12,2.333,1)*VLOOKUP($A49,'Página22'!$A$1:$S$27,COLUMN(),TRUE)</f>
        <v>2.333</v>
      </c>
      <c r="G49" s="48">
        <f t="shared" si="3"/>
        <v>2.920491407</v>
      </c>
      <c r="H49" s="48">
        <f>IF(MONTH($A49)=12,2.333,1)*VLOOKUP($A49,'Página22'!$A$1:$S$27,COLUMN(),TRUE)</f>
        <v>2.450028144</v>
      </c>
      <c r="I49" s="48">
        <f t="shared" si="4"/>
        <v>2.574095306</v>
      </c>
      <c r="J49" s="48">
        <f>IF(MONTH($A49)=12,2.333,1)*VLOOKUP($A49,'Página22'!$A$1:$S$27,COLUMN(),TRUE)</f>
        <v>2.450028144</v>
      </c>
      <c r="K49" s="48">
        <f>IF(MONTH($A49)=12,2.333,1)*VLOOKUP($A49,'Página22'!$A$1:$S$27,COLUMN(),TRUE)</f>
        <v>2.333</v>
      </c>
      <c r="L49" s="48">
        <f>VLOOKUP($A49,'Página22'!$A$1:$S$27,COLUMN(),TRUE)</f>
        <v>0.9975896677</v>
      </c>
      <c r="M49" s="48">
        <f>VLOOKUP($A49,'Página22'!$A$1:$S$27,COLUMN(),TRUE)</f>
        <v>0.2636622948</v>
      </c>
      <c r="N49" s="48">
        <f>VLOOKUP($A49,'Página22'!$A$1:$S$27,COLUMN(),TRUE)</f>
        <v>0.9975867447</v>
      </c>
      <c r="O49" s="48">
        <f>VLOOKUP($A49,'Página22'!$A$1:$S$27,COLUMN(),TRUE)</f>
        <v>0.1096103826</v>
      </c>
      <c r="P49" s="48">
        <f>VLOOKUP($A49,'Página22'!$A$1:$S$27,COLUMN(),TRUE)</f>
        <v>0.9977024921</v>
      </c>
      <c r="Q49" s="48">
        <f>VLOOKUP($A49,'Página22'!$A$1:$S$27,COLUMN(),TRUE)</f>
        <v>0.2823504998</v>
      </c>
      <c r="R49" s="48">
        <f>VLOOKUP($A49,'Página22'!$A$1:$S$27,COLUMN(),TRUE)</f>
        <v>0.9976997532</v>
      </c>
      <c r="S49" s="48">
        <f>VLOOKUP($A49,'Página22'!$A$1:$S$27,COLUMN(),TRUE)</f>
        <v>0.1173794923</v>
      </c>
      <c r="T49" s="73">
        <f t="shared" si="5"/>
        <v>2019</v>
      </c>
      <c r="U49" s="73">
        <f t="shared" si="6"/>
        <v>12</v>
      </c>
    </row>
    <row r="50">
      <c r="A50" s="34">
        <v>43831.0</v>
      </c>
      <c r="B50" s="48">
        <f t="shared" si="1"/>
        <v>1.255722183</v>
      </c>
      <c r="C50" s="48">
        <f>IF(MONTH($A50)=12,2.333,1)*VLOOKUP($A50,'Página22'!$A$1:$S$27,COLUMN(),TRUE)</f>
        <v>1.052631579</v>
      </c>
      <c r="D50" s="48">
        <f t="shared" si="2"/>
        <v>1.096236114</v>
      </c>
      <c r="E50" s="48">
        <f>IF(MONTH($A50)=12,2.333,1)*VLOOKUP($A50,'Página22'!$A$1:$S$27,COLUMN(),TRUE)</f>
        <v>1.052631579</v>
      </c>
      <c r="F50" s="48">
        <f>IF(MONTH($A50)=12,2.333,1)*VLOOKUP($A50,'Página22'!$A$1:$S$27,COLUMN(),TRUE)</f>
        <v>1</v>
      </c>
      <c r="G50" s="48">
        <f t="shared" si="3"/>
        <v>1.274131266</v>
      </c>
      <c r="H50" s="48">
        <f>IF(MONTH($A50)=12,2.333,1)*VLOOKUP($A50,'Página22'!$A$1:$S$27,COLUMN(),TRUE)</f>
        <v>1.050162085</v>
      </c>
      <c r="I50" s="48">
        <f t="shared" si="4"/>
        <v>1.103341323</v>
      </c>
      <c r="J50" s="48">
        <f>IF(MONTH($A50)=12,2.333,1)*VLOOKUP($A50,'Página22'!$A$1:$S$27,COLUMN(),TRUE)</f>
        <v>1.050162085</v>
      </c>
      <c r="K50" s="48">
        <f>IF(MONTH($A50)=12,2.333,1)*VLOOKUP($A50,'Página22'!$A$1:$S$27,COLUMN(),TRUE)</f>
        <v>1</v>
      </c>
      <c r="L50" s="48">
        <f>VLOOKUP($A50,'Página22'!$A$1:$S$27,COLUMN(),TRUE)</f>
        <v>0.9975896677</v>
      </c>
      <c r="M50" s="48">
        <f>VLOOKUP($A50,'Página22'!$A$1:$S$27,COLUMN(),TRUE)</f>
        <v>0.2868138344</v>
      </c>
      <c r="N50" s="48">
        <f>VLOOKUP($A50,'Página22'!$A$1:$S$27,COLUMN(),TRUE)</f>
        <v>0.9975867447</v>
      </c>
      <c r="O50" s="48">
        <f>VLOOKUP($A50,'Página22'!$A$1:$S$27,COLUMN(),TRUE)</f>
        <v>0.1096103826</v>
      </c>
      <c r="P50" s="48">
        <f>VLOOKUP($A50,'Página22'!$A$1:$S$27,COLUMN(),TRUE)</f>
        <v>0.9977024921</v>
      </c>
      <c r="Q50" s="48">
        <f>VLOOKUP($A50,'Página22'!$A$1:$S$27,COLUMN(),TRUE)</f>
        <v>0.3071430049</v>
      </c>
      <c r="R50" s="48">
        <f>VLOOKUP($A50,'Página22'!$A$1:$S$27,COLUMN(),TRUE)</f>
        <v>0.9976997532</v>
      </c>
      <c r="S50" s="48">
        <f>VLOOKUP($A50,'Página22'!$A$1:$S$27,COLUMN(),TRUE)</f>
        <v>0.1173794923</v>
      </c>
      <c r="T50" s="73">
        <f t="shared" si="5"/>
        <v>2020</v>
      </c>
      <c r="U50" s="73">
        <f t="shared" si="6"/>
        <v>1</v>
      </c>
    </row>
    <row r="51">
      <c r="A51" s="34">
        <v>43862.0</v>
      </c>
      <c r="B51" s="48">
        <f t="shared" si="1"/>
        <v>1.255722183</v>
      </c>
      <c r="C51" s="48">
        <f>IF(MONTH($A51)=12,2.333,1)*VLOOKUP($A51,'Página22'!$A$1:$S$27,COLUMN(),TRUE)</f>
        <v>1.052631579</v>
      </c>
      <c r="D51" s="48">
        <f t="shared" si="2"/>
        <v>1.096236114</v>
      </c>
      <c r="E51" s="48">
        <f>IF(MONTH($A51)=12,2.333,1)*VLOOKUP($A51,'Página22'!$A$1:$S$27,COLUMN(),TRUE)</f>
        <v>1.052631579</v>
      </c>
      <c r="F51" s="48">
        <f>IF(MONTH($A51)=12,2.333,1)*VLOOKUP($A51,'Página22'!$A$1:$S$27,COLUMN(),TRUE)</f>
        <v>1</v>
      </c>
      <c r="G51" s="48">
        <f t="shared" si="3"/>
        <v>1.274131266</v>
      </c>
      <c r="H51" s="48">
        <f>IF(MONTH($A51)=12,2.333,1)*VLOOKUP($A51,'Página22'!$A$1:$S$27,COLUMN(),TRUE)</f>
        <v>1.050162085</v>
      </c>
      <c r="I51" s="48">
        <f t="shared" si="4"/>
        <v>1.103341323</v>
      </c>
      <c r="J51" s="48">
        <f>IF(MONTH($A51)=12,2.333,1)*VLOOKUP($A51,'Página22'!$A$1:$S$27,COLUMN(),TRUE)</f>
        <v>1.050162085</v>
      </c>
      <c r="K51" s="48">
        <f>IF(MONTH($A51)=12,2.333,1)*VLOOKUP($A51,'Página22'!$A$1:$S$27,COLUMN(),TRUE)</f>
        <v>1</v>
      </c>
      <c r="L51" s="48">
        <f>VLOOKUP($A51,'Página22'!$A$1:$S$27,COLUMN(),TRUE)</f>
        <v>0.9975896677</v>
      </c>
      <c r="M51" s="48">
        <f>VLOOKUP($A51,'Página22'!$A$1:$S$27,COLUMN(),TRUE)</f>
        <v>0.2868138344</v>
      </c>
      <c r="N51" s="48">
        <f>VLOOKUP($A51,'Página22'!$A$1:$S$27,COLUMN(),TRUE)</f>
        <v>0.9975867447</v>
      </c>
      <c r="O51" s="48">
        <f>VLOOKUP($A51,'Página22'!$A$1:$S$27,COLUMN(),TRUE)</f>
        <v>0.1096103826</v>
      </c>
      <c r="P51" s="48">
        <f>VLOOKUP($A51,'Página22'!$A$1:$S$27,COLUMN(),TRUE)</f>
        <v>0.9977024921</v>
      </c>
      <c r="Q51" s="48">
        <f>VLOOKUP($A51,'Página22'!$A$1:$S$27,COLUMN(),TRUE)</f>
        <v>0.3071430049</v>
      </c>
      <c r="R51" s="48">
        <f>VLOOKUP($A51,'Página22'!$A$1:$S$27,COLUMN(),TRUE)</f>
        <v>0.9976997532</v>
      </c>
      <c r="S51" s="48">
        <f>VLOOKUP($A51,'Página22'!$A$1:$S$27,COLUMN(),TRUE)</f>
        <v>0.1173794923</v>
      </c>
      <c r="T51" s="73">
        <f t="shared" si="5"/>
        <v>2020</v>
      </c>
      <c r="U51" s="73">
        <f t="shared" si="6"/>
        <v>2</v>
      </c>
    </row>
    <row r="52">
      <c r="A52" s="34">
        <v>43891.0</v>
      </c>
      <c r="B52" s="48">
        <f t="shared" si="1"/>
        <v>1.265281307</v>
      </c>
      <c r="C52" s="48">
        <f>IF(MONTH($A52)=12,2.333,1)*VLOOKUP($A52,'Página22'!$A$1:$S$27,COLUMN(),TRUE)</f>
        <v>1.052631579</v>
      </c>
      <c r="D52" s="48">
        <f t="shared" si="2"/>
        <v>1.096236114</v>
      </c>
      <c r="E52" s="48">
        <f>IF(MONTH($A52)=12,2.333,1)*VLOOKUP($A52,'Página22'!$A$1:$S$27,COLUMN(),TRUE)</f>
        <v>1.052631579</v>
      </c>
      <c r="F52" s="48">
        <f>IF(MONTH($A52)=12,2.333,1)*VLOOKUP($A52,'Página22'!$A$1:$S$27,COLUMN(),TRUE)</f>
        <v>1</v>
      </c>
      <c r="G52" s="48">
        <f t="shared" si="3"/>
        <v>1.299660328</v>
      </c>
      <c r="H52" s="48">
        <f>IF(MONTH($A52)=12,2.333,1)*VLOOKUP($A52,'Página22'!$A$1:$S$27,COLUMN(),TRUE)</f>
        <v>1.048073649</v>
      </c>
      <c r="I52" s="48">
        <f t="shared" si="4"/>
        <v>1.109037433</v>
      </c>
      <c r="J52" s="48">
        <f>IF(MONTH($A52)=12,2.333,1)*VLOOKUP($A52,'Página22'!$A$1:$S$27,COLUMN(),TRUE)</f>
        <v>1.048073649</v>
      </c>
      <c r="K52" s="48">
        <f>IF(MONTH($A52)=12,2.333,1)*VLOOKUP($A52,'Página22'!$A$1:$S$27,COLUMN(),TRUE)</f>
        <v>1</v>
      </c>
      <c r="L52" s="48">
        <f>VLOOKUP($A52,'Página22'!$A$1:$S$27,COLUMN(),TRUE)</f>
        <v>0.9975896677</v>
      </c>
      <c r="M52" s="48">
        <f>VLOOKUP($A52,'Página22'!$A$1:$S$27,COLUMN(),TRUE)</f>
        <v>0.2974350805</v>
      </c>
      <c r="N52" s="48">
        <f>VLOOKUP($A52,'Página22'!$A$1:$S$27,COLUMN(),TRUE)</f>
        <v>0.9975867447</v>
      </c>
      <c r="O52" s="48">
        <f>VLOOKUP($A52,'Página22'!$A$1:$S$27,COLUMN(),TRUE)</f>
        <v>0.1096103826</v>
      </c>
      <c r="P52" s="48">
        <f>VLOOKUP($A52,'Página22'!$A$1:$S$27,COLUMN(),TRUE)</f>
        <v>0.9977986516</v>
      </c>
      <c r="Q52" s="48">
        <f>VLOOKUP($A52,'Página22'!$A$1:$S$27,COLUMN(),TRUE)</f>
        <v>0.335401779</v>
      </c>
      <c r="R52" s="48">
        <f>VLOOKUP($A52,'Página22'!$A$1:$S$27,COLUMN(),TRUE)</f>
        <v>0.9977957675</v>
      </c>
      <c r="S52" s="48">
        <f>VLOOKUP($A52,'Página22'!$A$1:$S$27,COLUMN(),TRUE)</f>
        <v>0.1236018201</v>
      </c>
      <c r="T52" s="73">
        <f t="shared" si="5"/>
        <v>2020</v>
      </c>
      <c r="U52" s="73">
        <f t="shared" si="6"/>
        <v>3</v>
      </c>
    </row>
    <row r="53">
      <c r="A53" s="34">
        <v>43922.0</v>
      </c>
      <c r="B53" s="48">
        <f t="shared" si="1"/>
        <v>1.265281307</v>
      </c>
      <c r="C53" s="48">
        <f>IF(MONTH($A53)=12,2.333,1)*VLOOKUP($A53,'Página22'!$A$1:$S$27,COLUMN(),TRUE)</f>
        <v>1.052631579</v>
      </c>
      <c r="D53" s="48">
        <f t="shared" si="2"/>
        <v>1.096236114</v>
      </c>
      <c r="E53" s="48">
        <f>IF(MONTH($A53)=12,2.333,1)*VLOOKUP($A53,'Página22'!$A$1:$S$27,COLUMN(),TRUE)</f>
        <v>1.052631579</v>
      </c>
      <c r="F53" s="48">
        <f>IF(MONTH($A53)=12,2.333,1)*VLOOKUP($A53,'Página22'!$A$1:$S$27,COLUMN(),TRUE)</f>
        <v>1</v>
      </c>
      <c r="G53" s="48">
        <f t="shared" si="3"/>
        <v>1.299660328</v>
      </c>
      <c r="H53" s="48">
        <f>IF(MONTH($A53)=12,2.333,1)*VLOOKUP($A53,'Página22'!$A$1:$S$27,COLUMN(),TRUE)</f>
        <v>1.048073649</v>
      </c>
      <c r="I53" s="48">
        <f t="shared" si="4"/>
        <v>1.109037433</v>
      </c>
      <c r="J53" s="48">
        <f>IF(MONTH($A53)=12,2.333,1)*VLOOKUP($A53,'Página22'!$A$1:$S$27,COLUMN(),TRUE)</f>
        <v>1.048073649</v>
      </c>
      <c r="K53" s="48">
        <f>IF(MONTH($A53)=12,2.333,1)*VLOOKUP($A53,'Página22'!$A$1:$S$27,COLUMN(),TRUE)</f>
        <v>1</v>
      </c>
      <c r="L53" s="48">
        <f>VLOOKUP($A53,'Página22'!$A$1:$S$27,COLUMN(),TRUE)</f>
        <v>0.9975896677</v>
      </c>
      <c r="M53" s="48">
        <f>VLOOKUP($A53,'Página22'!$A$1:$S$27,COLUMN(),TRUE)</f>
        <v>0.2974350805</v>
      </c>
      <c r="N53" s="48">
        <f>VLOOKUP($A53,'Página22'!$A$1:$S$27,COLUMN(),TRUE)</f>
        <v>0.9975867447</v>
      </c>
      <c r="O53" s="48">
        <f>VLOOKUP($A53,'Página22'!$A$1:$S$27,COLUMN(),TRUE)</f>
        <v>0.1096103826</v>
      </c>
      <c r="P53" s="48">
        <f>VLOOKUP($A53,'Página22'!$A$1:$S$27,COLUMN(),TRUE)</f>
        <v>0.9977986516</v>
      </c>
      <c r="Q53" s="48">
        <f>VLOOKUP($A53,'Página22'!$A$1:$S$27,COLUMN(),TRUE)</f>
        <v>0.335401779</v>
      </c>
      <c r="R53" s="48">
        <f>VLOOKUP($A53,'Página22'!$A$1:$S$27,COLUMN(),TRUE)</f>
        <v>0.9977957675</v>
      </c>
      <c r="S53" s="48">
        <f>VLOOKUP($A53,'Página22'!$A$1:$S$27,COLUMN(),TRUE)</f>
        <v>0.1236018201</v>
      </c>
      <c r="T53" s="73">
        <f t="shared" si="5"/>
        <v>2020</v>
      </c>
      <c r="U53" s="73">
        <f t="shared" si="6"/>
        <v>4</v>
      </c>
    </row>
    <row r="54">
      <c r="A54" s="34">
        <v>43952.0</v>
      </c>
      <c r="B54" s="48">
        <f t="shared" si="1"/>
        <v>1.265281307</v>
      </c>
      <c r="C54" s="48">
        <f>IF(MONTH($A54)=12,2.333,1)*VLOOKUP($A54,'Página22'!$A$1:$S$27,COLUMN(),TRUE)</f>
        <v>1.052631579</v>
      </c>
      <c r="D54" s="48">
        <f t="shared" si="2"/>
        <v>1.096236114</v>
      </c>
      <c r="E54" s="48">
        <f>IF(MONTH($A54)=12,2.333,1)*VLOOKUP($A54,'Página22'!$A$1:$S$27,COLUMN(),TRUE)</f>
        <v>1.052631579</v>
      </c>
      <c r="F54" s="48">
        <f>IF(MONTH($A54)=12,2.333,1)*VLOOKUP($A54,'Página22'!$A$1:$S$27,COLUMN(),TRUE)</f>
        <v>1</v>
      </c>
      <c r="G54" s="48">
        <f t="shared" si="3"/>
        <v>1.299660328</v>
      </c>
      <c r="H54" s="48">
        <f>IF(MONTH($A54)=12,2.333,1)*VLOOKUP($A54,'Página22'!$A$1:$S$27,COLUMN(),TRUE)</f>
        <v>1.048073649</v>
      </c>
      <c r="I54" s="48">
        <f t="shared" si="4"/>
        <v>1.109037433</v>
      </c>
      <c r="J54" s="48">
        <f>IF(MONTH($A54)=12,2.333,1)*VLOOKUP($A54,'Página22'!$A$1:$S$27,COLUMN(),TRUE)</f>
        <v>1.048073649</v>
      </c>
      <c r="K54" s="48">
        <f>IF(MONTH($A54)=12,2.333,1)*VLOOKUP($A54,'Página22'!$A$1:$S$27,COLUMN(),TRUE)</f>
        <v>1</v>
      </c>
      <c r="L54" s="48">
        <f>VLOOKUP($A54,'Página22'!$A$1:$S$27,COLUMN(),TRUE)</f>
        <v>0.9975896677</v>
      </c>
      <c r="M54" s="48">
        <f>VLOOKUP($A54,'Página22'!$A$1:$S$27,COLUMN(),TRUE)</f>
        <v>0.2974350805</v>
      </c>
      <c r="N54" s="48">
        <f>VLOOKUP($A54,'Página22'!$A$1:$S$27,COLUMN(),TRUE)</f>
        <v>0.9975867447</v>
      </c>
      <c r="O54" s="48">
        <f>VLOOKUP($A54,'Página22'!$A$1:$S$27,COLUMN(),TRUE)</f>
        <v>0.1096103826</v>
      </c>
      <c r="P54" s="48">
        <f>VLOOKUP($A54,'Página22'!$A$1:$S$27,COLUMN(),TRUE)</f>
        <v>0.9977986516</v>
      </c>
      <c r="Q54" s="48">
        <f>VLOOKUP($A54,'Página22'!$A$1:$S$27,COLUMN(),TRUE)</f>
        <v>0.335401779</v>
      </c>
      <c r="R54" s="48">
        <f>VLOOKUP($A54,'Página22'!$A$1:$S$27,COLUMN(),TRUE)</f>
        <v>0.9977957675</v>
      </c>
      <c r="S54" s="48">
        <f>VLOOKUP($A54,'Página22'!$A$1:$S$27,COLUMN(),TRUE)</f>
        <v>0.1236018201</v>
      </c>
      <c r="T54" s="73">
        <f t="shared" si="5"/>
        <v>2020</v>
      </c>
      <c r="U54" s="73">
        <f t="shared" si="6"/>
        <v>5</v>
      </c>
    </row>
    <row r="55">
      <c r="A55" s="34">
        <v>43983.0</v>
      </c>
      <c r="B55" s="48">
        <f t="shared" si="1"/>
        <v>1.265281307</v>
      </c>
      <c r="C55" s="48">
        <f>IF(MONTH($A55)=12,2.333,1)*VLOOKUP($A55,'Página22'!$A$1:$S$27,COLUMN(),TRUE)</f>
        <v>1.052631579</v>
      </c>
      <c r="D55" s="48">
        <f t="shared" si="2"/>
        <v>1.096236114</v>
      </c>
      <c r="E55" s="48">
        <f>IF(MONTH($A55)=12,2.333,1)*VLOOKUP($A55,'Página22'!$A$1:$S$27,COLUMN(),TRUE)</f>
        <v>1.052631579</v>
      </c>
      <c r="F55" s="48">
        <f>IF(MONTH($A55)=12,2.333,1)*VLOOKUP($A55,'Página22'!$A$1:$S$27,COLUMN(),TRUE)</f>
        <v>1</v>
      </c>
      <c r="G55" s="48">
        <f t="shared" si="3"/>
        <v>1.299660328</v>
      </c>
      <c r="H55" s="48">
        <f>IF(MONTH($A55)=12,2.333,1)*VLOOKUP($A55,'Página22'!$A$1:$S$27,COLUMN(),TRUE)</f>
        <v>1.048073649</v>
      </c>
      <c r="I55" s="48">
        <f t="shared" si="4"/>
        <v>1.109037433</v>
      </c>
      <c r="J55" s="48">
        <f>IF(MONTH($A55)=12,2.333,1)*VLOOKUP($A55,'Página22'!$A$1:$S$27,COLUMN(),TRUE)</f>
        <v>1.048073649</v>
      </c>
      <c r="K55" s="48">
        <f>IF(MONTH($A55)=12,2.333,1)*VLOOKUP($A55,'Página22'!$A$1:$S$27,COLUMN(),TRUE)</f>
        <v>1</v>
      </c>
      <c r="L55" s="48">
        <f>VLOOKUP($A55,'Página22'!$A$1:$S$27,COLUMN(),TRUE)</f>
        <v>0.9975896677</v>
      </c>
      <c r="M55" s="48">
        <f>VLOOKUP($A55,'Página22'!$A$1:$S$27,COLUMN(),TRUE)</f>
        <v>0.2974350805</v>
      </c>
      <c r="N55" s="48">
        <f>VLOOKUP($A55,'Página22'!$A$1:$S$27,COLUMN(),TRUE)</f>
        <v>0.9975867447</v>
      </c>
      <c r="O55" s="48">
        <f>VLOOKUP($A55,'Página22'!$A$1:$S$27,COLUMN(),TRUE)</f>
        <v>0.1096103826</v>
      </c>
      <c r="P55" s="48">
        <f>VLOOKUP($A55,'Página22'!$A$1:$S$27,COLUMN(),TRUE)</f>
        <v>0.9977986516</v>
      </c>
      <c r="Q55" s="48">
        <f>VLOOKUP($A55,'Página22'!$A$1:$S$27,COLUMN(),TRUE)</f>
        <v>0.335401779</v>
      </c>
      <c r="R55" s="48">
        <f>VLOOKUP($A55,'Página22'!$A$1:$S$27,COLUMN(),TRUE)</f>
        <v>0.9977957675</v>
      </c>
      <c r="S55" s="48">
        <f>VLOOKUP($A55,'Página22'!$A$1:$S$27,COLUMN(),TRUE)</f>
        <v>0.1236018201</v>
      </c>
      <c r="T55" s="73">
        <f t="shared" si="5"/>
        <v>2020</v>
      </c>
      <c r="U55" s="73">
        <f t="shared" si="6"/>
        <v>6</v>
      </c>
    </row>
    <row r="56">
      <c r="A56" s="34">
        <v>44013.0</v>
      </c>
      <c r="B56" s="48">
        <f t="shared" si="1"/>
        <v>1.265281307</v>
      </c>
      <c r="C56" s="48">
        <f>IF(MONTH($A56)=12,2.333,1)*VLOOKUP($A56,'Página22'!$A$1:$S$27,COLUMN(),TRUE)</f>
        <v>1.052631579</v>
      </c>
      <c r="D56" s="48">
        <f t="shared" si="2"/>
        <v>1.096236114</v>
      </c>
      <c r="E56" s="48">
        <f>IF(MONTH($A56)=12,2.333,1)*VLOOKUP($A56,'Página22'!$A$1:$S$27,COLUMN(),TRUE)</f>
        <v>1.052631579</v>
      </c>
      <c r="F56" s="48">
        <f>IF(MONTH($A56)=12,2.333,1)*VLOOKUP($A56,'Página22'!$A$1:$S$27,COLUMN(),TRUE)</f>
        <v>1</v>
      </c>
      <c r="G56" s="48">
        <f t="shared" si="3"/>
        <v>1.299660328</v>
      </c>
      <c r="H56" s="48">
        <f>IF(MONTH($A56)=12,2.333,1)*VLOOKUP($A56,'Página22'!$A$1:$S$27,COLUMN(),TRUE)</f>
        <v>1.048073649</v>
      </c>
      <c r="I56" s="48">
        <f t="shared" si="4"/>
        <v>1.109037433</v>
      </c>
      <c r="J56" s="48">
        <f>IF(MONTH($A56)=12,2.333,1)*VLOOKUP($A56,'Página22'!$A$1:$S$27,COLUMN(),TRUE)</f>
        <v>1.048073649</v>
      </c>
      <c r="K56" s="48">
        <f>IF(MONTH($A56)=12,2.333,1)*VLOOKUP($A56,'Página22'!$A$1:$S$27,COLUMN(),TRUE)</f>
        <v>1</v>
      </c>
      <c r="L56" s="48">
        <f>VLOOKUP($A56,'Página22'!$A$1:$S$27,COLUMN(),TRUE)</f>
        <v>0.9975896677</v>
      </c>
      <c r="M56" s="48">
        <f>VLOOKUP($A56,'Página22'!$A$1:$S$27,COLUMN(),TRUE)</f>
        <v>0.2974350805</v>
      </c>
      <c r="N56" s="48">
        <f>VLOOKUP($A56,'Página22'!$A$1:$S$27,COLUMN(),TRUE)</f>
        <v>0.9975867447</v>
      </c>
      <c r="O56" s="48">
        <f>VLOOKUP($A56,'Página22'!$A$1:$S$27,COLUMN(),TRUE)</f>
        <v>0.1096103826</v>
      </c>
      <c r="P56" s="48">
        <f>VLOOKUP($A56,'Página22'!$A$1:$S$27,COLUMN(),TRUE)</f>
        <v>0.9977986516</v>
      </c>
      <c r="Q56" s="48">
        <f>VLOOKUP($A56,'Página22'!$A$1:$S$27,COLUMN(),TRUE)</f>
        <v>0.335401779</v>
      </c>
      <c r="R56" s="48">
        <f>VLOOKUP($A56,'Página22'!$A$1:$S$27,COLUMN(),TRUE)</f>
        <v>0.9977957675</v>
      </c>
      <c r="S56" s="48">
        <f>VLOOKUP($A56,'Página22'!$A$1:$S$27,COLUMN(),TRUE)</f>
        <v>0.1236018201</v>
      </c>
      <c r="T56" s="73">
        <f t="shared" si="5"/>
        <v>2020</v>
      </c>
      <c r="U56" s="73">
        <f t="shared" si="6"/>
        <v>7</v>
      </c>
    </row>
    <row r="57">
      <c r="A57" s="34">
        <v>44044.0</v>
      </c>
      <c r="B57" s="48">
        <f t="shared" si="1"/>
        <v>1.265281307</v>
      </c>
      <c r="C57" s="48">
        <f>IF(MONTH($A57)=12,2.333,1)*VLOOKUP($A57,'Página22'!$A$1:$S$27,COLUMN(),TRUE)</f>
        <v>1.052631579</v>
      </c>
      <c r="D57" s="48">
        <f t="shared" si="2"/>
        <v>1.096236114</v>
      </c>
      <c r="E57" s="48">
        <f>IF(MONTH($A57)=12,2.333,1)*VLOOKUP($A57,'Página22'!$A$1:$S$27,COLUMN(),TRUE)</f>
        <v>1.052631579</v>
      </c>
      <c r="F57" s="48">
        <f>IF(MONTH($A57)=12,2.333,1)*VLOOKUP($A57,'Página22'!$A$1:$S$27,COLUMN(),TRUE)</f>
        <v>1</v>
      </c>
      <c r="G57" s="48">
        <f t="shared" si="3"/>
        <v>1.299660328</v>
      </c>
      <c r="H57" s="48">
        <f>IF(MONTH($A57)=12,2.333,1)*VLOOKUP($A57,'Página22'!$A$1:$S$27,COLUMN(),TRUE)</f>
        <v>1.048073649</v>
      </c>
      <c r="I57" s="48">
        <f t="shared" si="4"/>
        <v>1.109037433</v>
      </c>
      <c r="J57" s="48">
        <f>IF(MONTH($A57)=12,2.333,1)*VLOOKUP($A57,'Página22'!$A$1:$S$27,COLUMN(),TRUE)</f>
        <v>1.048073649</v>
      </c>
      <c r="K57" s="48">
        <f>IF(MONTH($A57)=12,2.333,1)*VLOOKUP($A57,'Página22'!$A$1:$S$27,COLUMN(),TRUE)</f>
        <v>1</v>
      </c>
      <c r="L57" s="48">
        <f>VLOOKUP($A57,'Página22'!$A$1:$S$27,COLUMN(),TRUE)</f>
        <v>0.9975896677</v>
      </c>
      <c r="M57" s="48">
        <f>VLOOKUP($A57,'Página22'!$A$1:$S$27,COLUMN(),TRUE)</f>
        <v>0.2974350805</v>
      </c>
      <c r="N57" s="48">
        <f>VLOOKUP($A57,'Página22'!$A$1:$S$27,COLUMN(),TRUE)</f>
        <v>0.9975867447</v>
      </c>
      <c r="O57" s="48">
        <f>VLOOKUP($A57,'Página22'!$A$1:$S$27,COLUMN(),TRUE)</f>
        <v>0.1096103826</v>
      </c>
      <c r="P57" s="48">
        <f>VLOOKUP($A57,'Página22'!$A$1:$S$27,COLUMN(),TRUE)</f>
        <v>0.9977986516</v>
      </c>
      <c r="Q57" s="48">
        <f>VLOOKUP($A57,'Página22'!$A$1:$S$27,COLUMN(),TRUE)</f>
        <v>0.335401779</v>
      </c>
      <c r="R57" s="48">
        <f>VLOOKUP($A57,'Página22'!$A$1:$S$27,COLUMN(),TRUE)</f>
        <v>0.9977957675</v>
      </c>
      <c r="S57" s="48">
        <f>VLOOKUP($A57,'Página22'!$A$1:$S$27,COLUMN(),TRUE)</f>
        <v>0.1236018201</v>
      </c>
      <c r="T57" s="73">
        <f t="shared" si="5"/>
        <v>2020</v>
      </c>
      <c r="U57" s="73">
        <f t="shared" si="6"/>
        <v>8</v>
      </c>
    </row>
    <row r="58">
      <c r="A58" s="34">
        <v>44075.0</v>
      </c>
      <c r="B58" s="48">
        <f t="shared" si="1"/>
        <v>1.265281307</v>
      </c>
      <c r="C58" s="48">
        <f>IF(MONTH($A58)=12,2.333,1)*VLOOKUP($A58,'Página22'!$A$1:$S$27,COLUMN(),TRUE)</f>
        <v>1.052631579</v>
      </c>
      <c r="D58" s="48">
        <f t="shared" si="2"/>
        <v>1.096236114</v>
      </c>
      <c r="E58" s="48">
        <f>IF(MONTH($A58)=12,2.333,1)*VLOOKUP($A58,'Página22'!$A$1:$S$27,COLUMN(),TRUE)</f>
        <v>1.052631579</v>
      </c>
      <c r="F58" s="48">
        <f>IF(MONTH($A58)=12,2.333,1)*VLOOKUP($A58,'Página22'!$A$1:$S$27,COLUMN(),TRUE)</f>
        <v>1</v>
      </c>
      <c r="G58" s="48">
        <f t="shared" si="3"/>
        <v>1.299660328</v>
      </c>
      <c r="H58" s="48">
        <f>IF(MONTH($A58)=12,2.333,1)*VLOOKUP($A58,'Página22'!$A$1:$S$27,COLUMN(),TRUE)</f>
        <v>1.048073649</v>
      </c>
      <c r="I58" s="48">
        <f t="shared" si="4"/>
        <v>1.109037433</v>
      </c>
      <c r="J58" s="48">
        <f>IF(MONTH($A58)=12,2.333,1)*VLOOKUP($A58,'Página22'!$A$1:$S$27,COLUMN(),TRUE)</f>
        <v>1.048073649</v>
      </c>
      <c r="K58" s="48">
        <f>IF(MONTH($A58)=12,2.333,1)*VLOOKUP($A58,'Página22'!$A$1:$S$27,COLUMN(),TRUE)</f>
        <v>1</v>
      </c>
      <c r="L58" s="48">
        <f>VLOOKUP($A58,'Página22'!$A$1:$S$27,COLUMN(),TRUE)</f>
        <v>0.9975896677</v>
      </c>
      <c r="M58" s="48">
        <f>VLOOKUP($A58,'Página22'!$A$1:$S$27,COLUMN(),TRUE)</f>
        <v>0.2974350805</v>
      </c>
      <c r="N58" s="48">
        <f>VLOOKUP($A58,'Página22'!$A$1:$S$27,COLUMN(),TRUE)</f>
        <v>0.9975867447</v>
      </c>
      <c r="O58" s="48">
        <f>VLOOKUP($A58,'Página22'!$A$1:$S$27,COLUMN(),TRUE)</f>
        <v>0.1096103826</v>
      </c>
      <c r="P58" s="48">
        <f>VLOOKUP($A58,'Página22'!$A$1:$S$27,COLUMN(),TRUE)</f>
        <v>0.9977986516</v>
      </c>
      <c r="Q58" s="48">
        <f>VLOOKUP($A58,'Página22'!$A$1:$S$27,COLUMN(),TRUE)</f>
        <v>0.335401779</v>
      </c>
      <c r="R58" s="48">
        <f>VLOOKUP($A58,'Página22'!$A$1:$S$27,COLUMN(),TRUE)</f>
        <v>0.9977957675</v>
      </c>
      <c r="S58" s="48">
        <f>VLOOKUP($A58,'Página22'!$A$1:$S$27,COLUMN(),TRUE)</f>
        <v>0.1236018201</v>
      </c>
      <c r="T58" s="73">
        <f t="shared" si="5"/>
        <v>2020</v>
      </c>
      <c r="U58" s="73">
        <f t="shared" si="6"/>
        <v>9</v>
      </c>
    </row>
    <row r="59">
      <c r="A59" s="34">
        <v>44105.0</v>
      </c>
      <c r="B59" s="48">
        <f t="shared" si="1"/>
        <v>1.265281307</v>
      </c>
      <c r="C59" s="48">
        <f>IF(MONTH($A59)=12,2.333,1)*VLOOKUP($A59,'Página22'!$A$1:$S$27,COLUMN(),TRUE)</f>
        <v>1.052631579</v>
      </c>
      <c r="D59" s="48">
        <f t="shared" si="2"/>
        <v>1.096236114</v>
      </c>
      <c r="E59" s="48">
        <f>IF(MONTH($A59)=12,2.333,1)*VLOOKUP($A59,'Página22'!$A$1:$S$27,COLUMN(),TRUE)</f>
        <v>1.052631579</v>
      </c>
      <c r="F59" s="48">
        <f>IF(MONTH($A59)=12,2.333,1)*VLOOKUP($A59,'Página22'!$A$1:$S$27,COLUMN(),TRUE)</f>
        <v>1</v>
      </c>
      <c r="G59" s="48">
        <f t="shared" si="3"/>
        <v>1.299660328</v>
      </c>
      <c r="H59" s="48">
        <f>IF(MONTH($A59)=12,2.333,1)*VLOOKUP($A59,'Página22'!$A$1:$S$27,COLUMN(),TRUE)</f>
        <v>1.048073649</v>
      </c>
      <c r="I59" s="48">
        <f t="shared" si="4"/>
        <v>1.109037433</v>
      </c>
      <c r="J59" s="48">
        <f>IF(MONTH($A59)=12,2.333,1)*VLOOKUP($A59,'Página22'!$A$1:$S$27,COLUMN(),TRUE)</f>
        <v>1.048073649</v>
      </c>
      <c r="K59" s="48">
        <f>IF(MONTH($A59)=12,2.333,1)*VLOOKUP($A59,'Página22'!$A$1:$S$27,COLUMN(),TRUE)</f>
        <v>1</v>
      </c>
      <c r="L59" s="48">
        <f>VLOOKUP($A59,'Página22'!$A$1:$S$27,COLUMN(),TRUE)</f>
        <v>0.9975896677</v>
      </c>
      <c r="M59" s="48">
        <f>VLOOKUP($A59,'Página22'!$A$1:$S$27,COLUMN(),TRUE)</f>
        <v>0.2974350805</v>
      </c>
      <c r="N59" s="48">
        <f>VLOOKUP($A59,'Página22'!$A$1:$S$27,COLUMN(),TRUE)</f>
        <v>0.9975867447</v>
      </c>
      <c r="O59" s="48">
        <f>VLOOKUP($A59,'Página22'!$A$1:$S$27,COLUMN(),TRUE)</f>
        <v>0.1096103826</v>
      </c>
      <c r="P59" s="48">
        <f>VLOOKUP($A59,'Página22'!$A$1:$S$27,COLUMN(),TRUE)</f>
        <v>0.9977986516</v>
      </c>
      <c r="Q59" s="48">
        <f>VLOOKUP($A59,'Página22'!$A$1:$S$27,COLUMN(),TRUE)</f>
        <v>0.335401779</v>
      </c>
      <c r="R59" s="48">
        <f>VLOOKUP($A59,'Página22'!$A$1:$S$27,COLUMN(),TRUE)</f>
        <v>0.9977957675</v>
      </c>
      <c r="S59" s="48">
        <f>VLOOKUP($A59,'Página22'!$A$1:$S$27,COLUMN(),TRUE)</f>
        <v>0.1236018201</v>
      </c>
      <c r="T59" s="73">
        <f t="shared" si="5"/>
        <v>2020</v>
      </c>
      <c r="U59" s="73">
        <f t="shared" si="6"/>
        <v>10</v>
      </c>
    </row>
    <row r="60">
      <c r="A60" s="34">
        <v>44136.0</v>
      </c>
      <c r="B60" s="48">
        <f t="shared" si="1"/>
        <v>1.265281307</v>
      </c>
      <c r="C60" s="48">
        <f>IF(MONTH($A60)=12,2.333,1)*VLOOKUP($A60,'Página22'!$A$1:$S$27,COLUMN(),TRUE)</f>
        <v>1.052631579</v>
      </c>
      <c r="D60" s="48">
        <f t="shared" si="2"/>
        <v>1.096236114</v>
      </c>
      <c r="E60" s="48">
        <f>IF(MONTH($A60)=12,2.333,1)*VLOOKUP($A60,'Página22'!$A$1:$S$27,COLUMN(),TRUE)</f>
        <v>1.052631579</v>
      </c>
      <c r="F60" s="48">
        <f>IF(MONTH($A60)=12,2.333,1)*VLOOKUP($A60,'Página22'!$A$1:$S$27,COLUMN(),TRUE)</f>
        <v>1</v>
      </c>
      <c r="G60" s="48">
        <f t="shared" si="3"/>
        <v>1.299660328</v>
      </c>
      <c r="H60" s="48">
        <f>IF(MONTH($A60)=12,2.333,1)*VLOOKUP($A60,'Página22'!$A$1:$S$27,COLUMN(),TRUE)</f>
        <v>1.048073649</v>
      </c>
      <c r="I60" s="48">
        <f t="shared" si="4"/>
        <v>1.109037433</v>
      </c>
      <c r="J60" s="48">
        <f>IF(MONTH($A60)=12,2.333,1)*VLOOKUP($A60,'Página22'!$A$1:$S$27,COLUMN(),TRUE)</f>
        <v>1.048073649</v>
      </c>
      <c r="K60" s="48">
        <f>IF(MONTH($A60)=12,2.333,1)*VLOOKUP($A60,'Página22'!$A$1:$S$27,COLUMN(),TRUE)</f>
        <v>1</v>
      </c>
      <c r="L60" s="48">
        <f>VLOOKUP($A60,'Página22'!$A$1:$S$27,COLUMN(),TRUE)</f>
        <v>0.9975896677</v>
      </c>
      <c r="M60" s="48">
        <f>VLOOKUP($A60,'Página22'!$A$1:$S$27,COLUMN(),TRUE)</f>
        <v>0.2974350805</v>
      </c>
      <c r="N60" s="48">
        <f>VLOOKUP($A60,'Página22'!$A$1:$S$27,COLUMN(),TRUE)</f>
        <v>0.9975867447</v>
      </c>
      <c r="O60" s="48">
        <f>VLOOKUP($A60,'Página22'!$A$1:$S$27,COLUMN(),TRUE)</f>
        <v>0.1096103826</v>
      </c>
      <c r="P60" s="48">
        <f>VLOOKUP($A60,'Página22'!$A$1:$S$27,COLUMN(),TRUE)</f>
        <v>0.9977986516</v>
      </c>
      <c r="Q60" s="48">
        <f>VLOOKUP($A60,'Página22'!$A$1:$S$27,COLUMN(),TRUE)</f>
        <v>0.335401779</v>
      </c>
      <c r="R60" s="48">
        <f>VLOOKUP($A60,'Página22'!$A$1:$S$27,COLUMN(),TRUE)</f>
        <v>0.9977957675</v>
      </c>
      <c r="S60" s="48">
        <f>VLOOKUP($A60,'Página22'!$A$1:$S$27,COLUMN(),TRUE)</f>
        <v>0.1236018201</v>
      </c>
      <c r="T60" s="73">
        <f t="shared" si="5"/>
        <v>2020</v>
      </c>
      <c r="U60" s="73">
        <f t="shared" si="6"/>
        <v>11</v>
      </c>
    </row>
    <row r="61">
      <c r="A61" s="34">
        <v>44166.0</v>
      </c>
      <c r="B61" s="48">
        <f t="shared" si="1"/>
        <v>2.951901289</v>
      </c>
      <c r="C61" s="48">
        <f>IF(MONTH($A61)=12,2.333,1)*VLOOKUP($A61,'Página22'!$A$1:$S$27,COLUMN(),TRUE)</f>
        <v>2.455789474</v>
      </c>
      <c r="D61" s="48">
        <f t="shared" si="2"/>
        <v>2.557518853</v>
      </c>
      <c r="E61" s="48">
        <f>IF(MONTH($A61)=12,2.333,1)*VLOOKUP($A61,'Página22'!$A$1:$S$27,COLUMN(),TRUE)</f>
        <v>2.455789474</v>
      </c>
      <c r="F61" s="48">
        <f>IF(MONTH($A61)=12,2.333,1)*VLOOKUP($A61,'Página22'!$A$1:$S$27,COLUMN(),TRUE)</f>
        <v>2.333</v>
      </c>
      <c r="G61" s="48">
        <f t="shared" si="3"/>
        <v>3.032107546</v>
      </c>
      <c r="H61" s="48">
        <f>IF(MONTH($A61)=12,2.333,1)*VLOOKUP($A61,'Página22'!$A$1:$S$27,COLUMN(),TRUE)</f>
        <v>2.445155822</v>
      </c>
      <c r="I61" s="48">
        <f t="shared" si="4"/>
        <v>2.587384332</v>
      </c>
      <c r="J61" s="48">
        <f>IF(MONTH($A61)=12,2.333,1)*VLOOKUP($A61,'Página22'!$A$1:$S$27,COLUMN(),TRUE)</f>
        <v>2.445155822</v>
      </c>
      <c r="K61" s="48">
        <f>IF(MONTH($A61)=12,2.333,1)*VLOOKUP($A61,'Página22'!$A$1:$S$27,COLUMN(),TRUE)</f>
        <v>2.333</v>
      </c>
      <c r="L61" s="48">
        <f>VLOOKUP($A61,'Página22'!$A$1:$S$27,COLUMN(),TRUE)</f>
        <v>0.9975896677</v>
      </c>
      <c r="M61" s="48">
        <f>VLOOKUP($A61,'Página22'!$A$1:$S$27,COLUMN(),TRUE)</f>
        <v>0.2974350805</v>
      </c>
      <c r="N61" s="48">
        <f>VLOOKUP($A61,'Página22'!$A$1:$S$27,COLUMN(),TRUE)</f>
        <v>0.9975867447</v>
      </c>
      <c r="O61" s="48">
        <f>VLOOKUP($A61,'Página22'!$A$1:$S$27,COLUMN(),TRUE)</f>
        <v>0.1096103826</v>
      </c>
      <c r="P61" s="48">
        <f>VLOOKUP($A61,'Página22'!$A$1:$S$27,COLUMN(),TRUE)</f>
        <v>0.9977986516</v>
      </c>
      <c r="Q61" s="48">
        <f>VLOOKUP($A61,'Página22'!$A$1:$S$27,COLUMN(),TRUE)</f>
        <v>0.335401779</v>
      </c>
      <c r="R61" s="48">
        <f>VLOOKUP($A61,'Página22'!$A$1:$S$27,COLUMN(),TRUE)</f>
        <v>0.9977957675</v>
      </c>
      <c r="S61" s="48">
        <f>VLOOKUP($A61,'Página22'!$A$1:$S$27,COLUMN(),TRUE)</f>
        <v>0.1236018201</v>
      </c>
      <c r="T61" s="73">
        <f t="shared" si="5"/>
        <v>2020</v>
      </c>
      <c r="U61" s="73">
        <f t="shared" si="6"/>
        <v>12</v>
      </c>
    </row>
    <row r="62">
      <c r="A62" s="34">
        <v>44197.0</v>
      </c>
      <c r="B62" s="48">
        <f t="shared" si="1"/>
        <v>1.313076926</v>
      </c>
      <c r="C62" s="48">
        <f>IF(MONTH($A62)=12,2.333,1)*VLOOKUP($A62,'Página22'!$A$1:$S$27,COLUMN(),TRUE)</f>
        <v>1.052631579</v>
      </c>
      <c r="D62" s="48">
        <f t="shared" si="2"/>
        <v>1.096236114</v>
      </c>
      <c r="E62" s="48">
        <f>IF(MONTH($A62)=12,2.333,1)*VLOOKUP($A62,'Página22'!$A$1:$S$27,COLUMN(),TRUE)</f>
        <v>1.052631579</v>
      </c>
      <c r="F62" s="48">
        <f>IF(MONTH($A62)=12,2.333,1)*VLOOKUP($A62,'Página22'!$A$1:$S$27,COLUMN(),TRUE)</f>
        <v>1</v>
      </c>
      <c r="G62" s="48">
        <f t="shared" si="3"/>
        <v>1.35284185</v>
      </c>
      <c r="H62" s="48">
        <f>IF(MONTH($A62)=12,2.333,1)*VLOOKUP($A62,'Página22'!$A$1:$S$27,COLUMN(),TRUE)</f>
        <v>1.047976065</v>
      </c>
      <c r="I62" s="48">
        <f t="shared" si="4"/>
        <v>1.108817033</v>
      </c>
      <c r="J62" s="48">
        <f>IF(MONTH($A62)=12,2.333,1)*VLOOKUP($A62,'Página22'!$A$1:$S$27,COLUMN(),TRUE)</f>
        <v>1.047976065</v>
      </c>
      <c r="K62" s="48">
        <f>IF(MONTH($A62)=12,2.333,1)*VLOOKUP($A62,'Página22'!$A$1:$S$27,COLUMN(),TRUE)</f>
        <v>1</v>
      </c>
      <c r="L62" s="48">
        <f>VLOOKUP($A62,'Página22'!$A$1:$S$27,COLUMN(),TRUE)</f>
        <v>0.9975896677</v>
      </c>
      <c r="M62" s="48">
        <f>VLOOKUP($A62,'Página22'!$A$1:$S$27,COLUMN(),TRUE)</f>
        <v>0.3505413109</v>
      </c>
      <c r="N62" s="48">
        <f>VLOOKUP($A62,'Página22'!$A$1:$S$27,COLUMN(),TRUE)</f>
        <v>0.9975867447</v>
      </c>
      <c r="O62" s="48">
        <f>VLOOKUP($A62,'Página22'!$A$1:$S$27,COLUMN(),TRUE)</f>
        <v>0.1096103826</v>
      </c>
      <c r="P62" s="48">
        <f>VLOOKUP($A62,'Página22'!$A$1:$S$27,COLUMN(),TRUE)</f>
        <v>0.9978026901</v>
      </c>
      <c r="Q62" s="48">
        <f>VLOOKUP($A62,'Página22'!$A$1:$S$27,COLUMN(),TRUE)</f>
        <v>0.3944878565</v>
      </c>
      <c r="R62" s="48">
        <f>VLOOKUP($A62,'Página22'!$A$1:$S$27,COLUMN(),TRUE)</f>
        <v>0.997800223</v>
      </c>
      <c r="S62" s="48">
        <f>VLOOKUP($A62,'Página22'!$A$1:$S$27,COLUMN(),TRUE)</f>
        <v>0.1233519803</v>
      </c>
      <c r="T62" s="73">
        <f t="shared" si="5"/>
        <v>2021</v>
      </c>
      <c r="U62" s="73">
        <f t="shared" si="6"/>
        <v>1</v>
      </c>
    </row>
    <row r="63">
      <c r="A63" s="34">
        <v>44228.0</v>
      </c>
      <c r="B63" s="48">
        <f t="shared" si="1"/>
        <v>1.313076926</v>
      </c>
      <c r="C63" s="48">
        <f>IF(MONTH($A63)=12,2.333,1)*VLOOKUP($A63,'Página22'!$A$1:$S$27,COLUMN(),TRUE)</f>
        <v>1.052631579</v>
      </c>
      <c r="D63" s="48">
        <f t="shared" si="2"/>
        <v>1.096236114</v>
      </c>
      <c r="E63" s="48">
        <f>IF(MONTH($A63)=12,2.333,1)*VLOOKUP($A63,'Página22'!$A$1:$S$27,COLUMN(),TRUE)</f>
        <v>1.052631579</v>
      </c>
      <c r="F63" s="48">
        <f>IF(MONTH($A63)=12,2.333,1)*VLOOKUP($A63,'Página22'!$A$1:$S$27,COLUMN(),TRUE)</f>
        <v>1</v>
      </c>
      <c r="G63" s="48">
        <f t="shared" si="3"/>
        <v>1.35284185</v>
      </c>
      <c r="H63" s="48">
        <f>IF(MONTH($A63)=12,2.333,1)*VLOOKUP($A63,'Página22'!$A$1:$S$27,COLUMN(),TRUE)</f>
        <v>1.047976065</v>
      </c>
      <c r="I63" s="48">
        <f t="shared" si="4"/>
        <v>1.108817033</v>
      </c>
      <c r="J63" s="48">
        <f>IF(MONTH($A63)=12,2.333,1)*VLOOKUP($A63,'Página22'!$A$1:$S$27,COLUMN(),TRUE)</f>
        <v>1.047976065</v>
      </c>
      <c r="K63" s="48">
        <f>IF(MONTH($A63)=12,2.333,1)*VLOOKUP($A63,'Página22'!$A$1:$S$27,COLUMN(),TRUE)</f>
        <v>1</v>
      </c>
      <c r="L63" s="48">
        <f>VLOOKUP($A63,'Página22'!$A$1:$S$27,COLUMN(),TRUE)</f>
        <v>0.9975896677</v>
      </c>
      <c r="M63" s="48">
        <f>VLOOKUP($A63,'Página22'!$A$1:$S$27,COLUMN(),TRUE)</f>
        <v>0.3505413109</v>
      </c>
      <c r="N63" s="48">
        <f>VLOOKUP($A63,'Página22'!$A$1:$S$27,COLUMN(),TRUE)</f>
        <v>0.9975867447</v>
      </c>
      <c r="O63" s="48">
        <f>VLOOKUP($A63,'Página22'!$A$1:$S$27,COLUMN(),TRUE)</f>
        <v>0.1096103826</v>
      </c>
      <c r="P63" s="48">
        <f>VLOOKUP($A63,'Página22'!$A$1:$S$27,COLUMN(),TRUE)</f>
        <v>0.9978026901</v>
      </c>
      <c r="Q63" s="48">
        <f>VLOOKUP($A63,'Página22'!$A$1:$S$27,COLUMN(),TRUE)</f>
        <v>0.3944878565</v>
      </c>
      <c r="R63" s="48">
        <f>VLOOKUP($A63,'Página22'!$A$1:$S$27,COLUMN(),TRUE)</f>
        <v>0.997800223</v>
      </c>
      <c r="S63" s="48">
        <f>VLOOKUP($A63,'Página22'!$A$1:$S$27,COLUMN(),TRUE)</f>
        <v>0.1233519803</v>
      </c>
      <c r="T63" s="73">
        <f t="shared" si="5"/>
        <v>2021</v>
      </c>
      <c r="U63" s="73">
        <f t="shared" si="6"/>
        <v>2</v>
      </c>
    </row>
    <row r="64">
      <c r="A64" s="34">
        <v>44256.0</v>
      </c>
      <c r="B64" s="48">
        <f t="shared" si="1"/>
        <v>1.313076926</v>
      </c>
      <c r="C64" s="48">
        <f>IF(MONTH($A64)=12,2.333,1)*VLOOKUP($A64,'Página22'!$A$1:$S$27,COLUMN(),TRUE)</f>
        <v>1.052631579</v>
      </c>
      <c r="D64" s="48">
        <f t="shared" si="2"/>
        <v>1.096236114</v>
      </c>
      <c r="E64" s="48">
        <f>IF(MONTH($A64)=12,2.333,1)*VLOOKUP($A64,'Página22'!$A$1:$S$27,COLUMN(),TRUE)</f>
        <v>1.052631579</v>
      </c>
      <c r="F64" s="48">
        <f>IF(MONTH($A64)=12,2.333,1)*VLOOKUP($A64,'Página22'!$A$1:$S$27,COLUMN(),TRUE)</f>
        <v>1</v>
      </c>
      <c r="G64" s="48">
        <f t="shared" si="3"/>
        <v>1.35284185</v>
      </c>
      <c r="H64" s="48">
        <f>IF(MONTH($A64)=12,2.333,1)*VLOOKUP($A64,'Página22'!$A$1:$S$27,COLUMN(),TRUE)</f>
        <v>1.047976065</v>
      </c>
      <c r="I64" s="48">
        <f t="shared" si="4"/>
        <v>1.108817033</v>
      </c>
      <c r="J64" s="48">
        <f>IF(MONTH($A64)=12,2.333,1)*VLOOKUP($A64,'Página22'!$A$1:$S$27,COLUMN(),TRUE)</f>
        <v>1.047976065</v>
      </c>
      <c r="K64" s="48">
        <f>IF(MONTH($A64)=12,2.333,1)*VLOOKUP($A64,'Página22'!$A$1:$S$27,COLUMN(),TRUE)</f>
        <v>1</v>
      </c>
      <c r="L64" s="48">
        <f>VLOOKUP($A64,'Página22'!$A$1:$S$27,COLUMN(),TRUE)</f>
        <v>0.9975896677</v>
      </c>
      <c r="M64" s="48">
        <f>VLOOKUP($A64,'Página22'!$A$1:$S$27,COLUMN(),TRUE)</f>
        <v>0.3505413109</v>
      </c>
      <c r="N64" s="48">
        <f>VLOOKUP($A64,'Página22'!$A$1:$S$27,COLUMN(),TRUE)</f>
        <v>0.9975867447</v>
      </c>
      <c r="O64" s="48">
        <f>VLOOKUP($A64,'Página22'!$A$1:$S$27,COLUMN(),TRUE)</f>
        <v>0.1096103826</v>
      </c>
      <c r="P64" s="48">
        <f>VLOOKUP($A64,'Página22'!$A$1:$S$27,COLUMN(),TRUE)</f>
        <v>0.9978026901</v>
      </c>
      <c r="Q64" s="48">
        <f>VLOOKUP($A64,'Página22'!$A$1:$S$27,COLUMN(),TRUE)</f>
        <v>0.3944878565</v>
      </c>
      <c r="R64" s="48">
        <f>VLOOKUP($A64,'Página22'!$A$1:$S$27,COLUMN(),TRUE)</f>
        <v>0.997800223</v>
      </c>
      <c r="S64" s="48">
        <f>VLOOKUP($A64,'Página22'!$A$1:$S$27,COLUMN(),TRUE)</f>
        <v>0.1233519803</v>
      </c>
      <c r="T64" s="73">
        <f t="shared" si="5"/>
        <v>2021</v>
      </c>
      <c r="U64" s="73">
        <f t="shared" si="6"/>
        <v>3</v>
      </c>
    </row>
    <row r="65">
      <c r="A65" s="34">
        <v>44287.0</v>
      </c>
      <c r="B65" s="48">
        <f t="shared" si="1"/>
        <v>1.313076926</v>
      </c>
      <c r="C65" s="48">
        <f>IF(MONTH($A65)=12,2.333,1)*VLOOKUP($A65,'Página22'!$A$1:$S$27,COLUMN(),TRUE)</f>
        <v>1.052631579</v>
      </c>
      <c r="D65" s="48">
        <f t="shared" si="2"/>
        <v>1.096236114</v>
      </c>
      <c r="E65" s="48">
        <f>IF(MONTH($A65)=12,2.333,1)*VLOOKUP($A65,'Página22'!$A$1:$S$27,COLUMN(),TRUE)</f>
        <v>1.052631579</v>
      </c>
      <c r="F65" s="48">
        <f>IF(MONTH($A65)=12,2.333,1)*VLOOKUP($A65,'Página22'!$A$1:$S$27,COLUMN(),TRUE)</f>
        <v>1</v>
      </c>
      <c r="G65" s="48">
        <f t="shared" si="3"/>
        <v>1.35284185</v>
      </c>
      <c r="H65" s="48">
        <f>IF(MONTH($A65)=12,2.333,1)*VLOOKUP($A65,'Página22'!$A$1:$S$27,COLUMN(),TRUE)</f>
        <v>1.047976065</v>
      </c>
      <c r="I65" s="48">
        <f t="shared" si="4"/>
        <v>1.108817033</v>
      </c>
      <c r="J65" s="48">
        <f>IF(MONTH($A65)=12,2.333,1)*VLOOKUP($A65,'Página22'!$A$1:$S$27,COLUMN(),TRUE)</f>
        <v>1.047976065</v>
      </c>
      <c r="K65" s="48">
        <f>IF(MONTH($A65)=12,2.333,1)*VLOOKUP($A65,'Página22'!$A$1:$S$27,COLUMN(),TRUE)</f>
        <v>1</v>
      </c>
      <c r="L65" s="48">
        <f>VLOOKUP($A65,'Página22'!$A$1:$S$27,COLUMN(),TRUE)</f>
        <v>0.9975896677</v>
      </c>
      <c r="M65" s="48">
        <f>VLOOKUP($A65,'Página22'!$A$1:$S$27,COLUMN(),TRUE)</f>
        <v>0.3505413109</v>
      </c>
      <c r="N65" s="48">
        <f>VLOOKUP($A65,'Página22'!$A$1:$S$27,COLUMN(),TRUE)</f>
        <v>0.9975867447</v>
      </c>
      <c r="O65" s="48">
        <f>VLOOKUP($A65,'Página22'!$A$1:$S$27,COLUMN(),TRUE)</f>
        <v>0.1096103826</v>
      </c>
      <c r="P65" s="48">
        <f>VLOOKUP($A65,'Página22'!$A$1:$S$27,COLUMN(),TRUE)</f>
        <v>0.9978026901</v>
      </c>
      <c r="Q65" s="48">
        <f>VLOOKUP($A65,'Página22'!$A$1:$S$27,COLUMN(),TRUE)</f>
        <v>0.3944878565</v>
      </c>
      <c r="R65" s="48">
        <f>VLOOKUP($A65,'Página22'!$A$1:$S$27,COLUMN(),TRUE)</f>
        <v>0.997800223</v>
      </c>
      <c r="S65" s="48">
        <f>VLOOKUP($A65,'Página22'!$A$1:$S$27,COLUMN(),TRUE)</f>
        <v>0.1233519803</v>
      </c>
      <c r="T65" s="73">
        <f t="shared" si="5"/>
        <v>2021</v>
      </c>
      <c r="U65" s="73">
        <f t="shared" si="6"/>
        <v>4</v>
      </c>
    </row>
    <row r="66">
      <c r="A66" s="34">
        <v>44317.0</v>
      </c>
      <c r="B66" s="48">
        <f t="shared" si="1"/>
        <v>1.313076926</v>
      </c>
      <c r="C66" s="48">
        <f>IF(MONTH($A66)=12,2.333,1)*VLOOKUP($A66,'Página22'!$A$1:$S$27,COLUMN(),TRUE)</f>
        <v>1.052631579</v>
      </c>
      <c r="D66" s="48">
        <f t="shared" si="2"/>
        <v>1.096236114</v>
      </c>
      <c r="E66" s="48">
        <f>IF(MONTH($A66)=12,2.333,1)*VLOOKUP($A66,'Página22'!$A$1:$S$27,COLUMN(),TRUE)</f>
        <v>1.052631579</v>
      </c>
      <c r="F66" s="48">
        <f>IF(MONTH($A66)=12,2.333,1)*VLOOKUP($A66,'Página22'!$A$1:$S$27,COLUMN(),TRUE)</f>
        <v>1</v>
      </c>
      <c r="G66" s="48">
        <f t="shared" si="3"/>
        <v>1.35284185</v>
      </c>
      <c r="H66" s="48">
        <f>IF(MONTH($A66)=12,2.333,1)*VLOOKUP($A66,'Página22'!$A$1:$S$27,COLUMN(),TRUE)</f>
        <v>1.047976065</v>
      </c>
      <c r="I66" s="48">
        <f t="shared" si="4"/>
        <v>1.108817033</v>
      </c>
      <c r="J66" s="48">
        <f>IF(MONTH($A66)=12,2.333,1)*VLOOKUP($A66,'Página22'!$A$1:$S$27,COLUMN(),TRUE)</f>
        <v>1.047976065</v>
      </c>
      <c r="K66" s="48">
        <f>IF(MONTH($A66)=12,2.333,1)*VLOOKUP($A66,'Página22'!$A$1:$S$27,COLUMN(),TRUE)</f>
        <v>1</v>
      </c>
      <c r="L66" s="48">
        <f>VLOOKUP($A66,'Página22'!$A$1:$S$27,COLUMN(),TRUE)</f>
        <v>0.9975896677</v>
      </c>
      <c r="M66" s="48">
        <f>VLOOKUP($A66,'Página22'!$A$1:$S$27,COLUMN(),TRUE)</f>
        <v>0.3505413109</v>
      </c>
      <c r="N66" s="48">
        <f>VLOOKUP($A66,'Página22'!$A$1:$S$27,COLUMN(),TRUE)</f>
        <v>0.9975867447</v>
      </c>
      <c r="O66" s="48">
        <f>VLOOKUP($A66,'Página22'!$A$1:$S$27,COLUMN(),TRUE)</f>
        <v>0.1096103826</v>
      </c>
      <c r="P66" s="48">
        <f>VLOOKUP($A66,'Página22'!$A$1:$S$27,COLUMN(),TRUE)</f>
        <v>0.9978026901</v>
      </c>
      <c r="Q66" s="48">
        <f>VLOOKUP($A66,'Página22'!$A$1:$S$27,COLUMN(),TRUE)</f>
        <v>0.3944878565</v>
      </c>
      <c r="R66" s="48">
        <f>VLOOKUP($A66,'Página22'!$A$1:$S$27,COLUMN(),TRUE)</f>
        <v>0.997800223</v>
      </c>
      <c r="S66" s="48">
        <f>VLOOKUP($A66,'Página22'!$A$1:$S$27,COLUMN(),TRUE)</f>
        <v>0.1233519803</v>
      </c>
      <c r="T66" s="73">
        <f t="shared" si="5"/>
        <v>2021</v>
      </c>
      <c r="U66" s="73">
        <f t="shared" si="6"/>
        <v>5</v>
      </c>
    </row>
    <row r="67">
      <c r="A67" s="34">
        <v>44348.0</v>
      </c>
      <c r="B67" s="48">
        <f t="shared" si="1"/>
        <v>1.313076926</v>
      </c>
      <c r="C67" s="48">
        <f>IF(MONTH($A67)=12,2.333,1)*VLOOKUP($A67,'Página22'!$A$1:$S$27,COLUMN(),TRUE)</f>
        <v>1.052631579</v>
      </c>
      <c r="D67" s="48">
        <f t="shared" si="2"/>
        <v>1.096236114</v>
      </c>
      <c r="E67" s="48">
        <f>IF(MONTH($A67)=12,2.333,1)*VLOOKUP($A67,'Página22'!$A$1:$S$27,COLUMN(),TRUE)</f>
        <v>1.052631579</v>
      </c>
      <c r="F67" s="48">
        <f>IF(MONTH($A67)=12,2.333,1)*VLOOKUP($A67,'Página22'!$A$1:$S$27,COLUMN(),TRUE)</f>
        <v>1</v>
      </c>
      <c r="G67" s="48">
        <f t="shared" si="3"/>
        <v>1.35284185</v>
      </c>
      <c r="H67" s="48">
        <f>IF(MONTH($A67)=12,2.333,1)*VLOOKUP($A67,'Página22'!$A$1:$S$27,COLUMN(),TRUE)</f>
        <v>1.047976065</v>
      </c>
      <c r="I67" s="48">
        <f t="shared" si="4"/>
        <v>1.108817033</v>
      </c>
      <c r="J67" s="48">
        <f>IF(MONTH($A67)=12,2.333,1)*VLOOKUP($A67,'Página22'!$A$1:$S$27,COLUMN(),TRUE)</f>
        <v>1.047976065</v>
      </c>
      <c r="K67" s="48">
        <f>IF(MONTH($A67)=12,2.333,1)*VLOOKUP($A67,'Página22'!$A$1:$S$27,COLUMN(),TRUE)</f>
        <v>1</v>
      </c>
      <c r="L67" s="48">
        <f>VLOOKUP($A67,'Página22'!$A$1:$S$27,COLUMN(),TRUE)</f>
        <v>0.9975896677</v>
      </c>
      <c r="M67" s="48">
        <f>VLOOKUP($A67,'Página22'!$A$1:$S$27,COLUMN(),TRUE)</f>
        <v>0.3505413109</v>
      </c>
      <c r="N67" s="48">
        <f>VLOOKUP($A67,'Página22'!$A$1:$S$27,COLUMN(),TRUE)</f>
        <v>0.9975867447</v>
      </c>
      <c r="O67" s="48">
        <f>VLOOKUP($A67,'Página22'!$A$1:$S$27,COLUMN(),TRUE)</f>
        <v>0.1096103826</v>
      </c>
      <c r="P67" s="48">
        <f>VLOOKUP($A67,'Página22'!$A$1:$S$27,COLUMN(),TRUE)</f>
        <v>0.9978026901</v>
      </c>
      <c r="Q67" s="48">
        <f>VLOOKUP($A67,'Página22'!$A$1:$S$27,COLUMN(),TRUE)</f>
        <v>0.3944878565</v>
      </c>
      <c r="R67" s="48">
        <f>VLOOKUP($A67,'Página22'!$A$1:$S$27,COLUMN(),TRUE)</f>
        <v>0.997800223</v>
      </c>
      <c r="S67" s="48">
        <f>VLOOKUP($A67,'Página22'!$A$1:$S$27,COLUMN(),TRUE)</f>
        <v>0.1233519803</v>
      </c>
      <c r="T67" s="73">
        <f t="shared" si="5"/>
        <v>2021</v>
      </c>
      <c r="U67" s="73">
        <f t="shared" si="6"/>
        <v>6</v>
      </c>
    </row>
    <row r="68">
      <c r="A68" s="34">
        <v>44378.0</v>
      </c>
      <c r="B68" s="48">
        <f t="shared" si="1"/>
        <v>1.313076926</v>
      </c>
      <c r="C68" s="48">
        <f>IF(MONTH($A68)=12,2.333,1)*VLOOKUP($A68,'Página22'!$A$1:$S$27,COLUMN(),TRUE)</f>
        <v>1.052631579</v>
      </c>
      <c r="D68" s="48">
        <f t="shared" si="2"/>
        <v>1.096236114</v>
      </c>
      <c r="E68" s="48">
        <f>IF(MONTH($A68)=12,2.333,1)*VLOOKUP($A68,'Página22'!$A$1:$S$27,COLUMN(),TRUE)</f>
        <v>1.052631579</v>
      </c>
      <c r="F68" s="48">
        <f>IF(MONTH($A68)=12,2.333,1)*VLOOKUP($A68,'Página22'!$A$1:$S$27,COLUMN(),TRUE)</f>
        <v>1</v>
      </c>
      <c r="G68" s="48">
        <f t="shared" si="3"/>
        <v>1.35284185</v>
      </c>
      <c r="H68" s="48">
        <f>IF(MONTH($A68)=12,2.333,1)*VLOOKUP($A68,'Página22'!$A$1:$S$27,COLUMN(),TRUE)</f>
        <v>1.047976065</v>
      </c>
      <c r="I68" s="48">
        <f t="shared" si="4"/>
        <v>1.108817033</v>
      </c>
      <c r="J68" s="48">
        <f>IF(MONTH($A68)=12,2.333,1)*VLOOKUP($A68,'Página22'!$A$1:$S$27,COLUMN(),TRUE)</f>
        <v>1.047976065</v>
      </c>
      <c r="K68" s="48">
        <f>IF(MONTH($A68)=12,2.333,1)*VLOOKUP($A68,'Página22'!$A$1:$S$27,COLUMN(),TRUE)</f>
        <v>1</v>
      </c>
      <c r="L68" s="48">
        <f>VLOOKUP($A68,'Página22'!$A$1:$S$27,COLUMN(),TRUE)</f>
        <v>0.9975896677</v>
      </c>
      <c r="M68" s="48">
        <f>VLOOKUP($A68,'Página22'!$A$1:$S$27,COLUMN(),TRUE)</f>
        <v>0.3505413109</v>
      </c>
      <c r="N68" s="48">
        <f>VLOOKUP($A68,'Página22'!$A$1:$S$27,COLUMN(),TRUE)</f>
        <v>0.9975867447</v>
      </c>
      <c r="O68" s="48">
        <f>VLOOKUP($A68,'Página22'!$A$1:$S$27,COLUMN(),TRUE)</f>
        <v>0.1096103826</v>
      </c>
      <c r="P68" s="48">
        <f>VLOOKUP($A68,'Página22'!$A$1:$S$27,COLUMN(),TRUE)</f>
        <v>0.9978026901</v>
      </c>
      <c r="Q68" s="48">
        <f>VLOOKUP($A68,'Página22'!$A$1:$S$27,COLUMN(),TRUE)</f>
        <v>0.3944878565</v>
      </c>
      <c r="R68" s="48">
        <f>VLOOKUP($A68,'Página22'!$A$1:$S$27,COLUMN(),TRUE)</f>
        <v>0.997800223</v>
      </c>
      <c r="S68" s="48">
        <f>VLOOKUP($A68,'Página22'!$A$1:$S$27,COLUMN(),TRUE)</f>
        <v>0.1233519803</v>
      </c>
      <c r="T68" s="73">
        <f t="shared" si="5"/>
        <v>2021</v>
      </c>
      <c r="U68" s="73">
        <f t="shared" si="6"/>
        <v>7</v>
      </c>
    </row>
    <row r="69">
      <c r="A69" s="34">
        <v>44409.0</v>
      </c>
      <c r="B69" s="48">
        <f t="shared" si="1"/>
        <v>1.313076926</v>
      </c>
      <c r="C69" s="48">
        <f>IF(MONTH($A69)=12,2.333,1)*VLOOKUP($A69,'Página22'!$A$1:$S$27,COLUMN(),TRUE)</f>
        <v>1.052631579</v>
      </c>
      <c r="D69" s="48">
        <f t="shared" si="2"/>
        <v>1.096236114</v>
      </c>
      <c r="E69" s="48">
        <f>IF(MONTH($A69)=12,2.333,1)*VLOOKUP($A69,'Página22'!$A$1:$S$27,COLUMN(),TRUE)</f>
        <v>1.052631579</v>
      </c>
      <c r="F69" s="48">
        <f>IF(MONTH($A69)=12,2.333,1)*VLOOKUP($A69,'Página22'!$A$1:$S$27,COLUMN(),TRUE)</f>
        <v>1</v>
      </c>
      <c r="G69" s="48">
        <f t="shared" si="3"/>
        <v>1.35284185</v>
      </c>
      <c r="H69" s="48">
        <f>IF(MONTH($A69)=12,2.333,1)*VLOOKUP($A69,'Página22'!$A$1:$S$27,COLUMN(),TRUE)</f>
        <v>1.047976065</v>
      </c>
      <c r="I69" s="48">
        <f t="shared" si="4"/>
        <v>1.108817033</v>
      </c>
      <c r="J69" s="48">
        <f>IF(MONTH($A69)=12,2.333,1)*VLOOKUP($A69,'Página22'!$A$1:$S$27,COLUMN(),TRUE)</f>
        <v>1.047976065</v>
      </c>
      <c r="K69" s="48">
        <f>IF(MONTH($A69)=12,2.333,1)*VLOOKUP($A69,'Página22'!$A$1:$S$27,COLUMN(),TRUE)</f>
        <v>1</v>
      </c>
      <c r="L69" s="48">
        <f>VLOOKUP($A69,'Página22'!$A$1:$S$27,COLUMN(),TRUE)</f>
        <v>0.9975896677</v>
      </c>
      <c r="M69" s="48">
        <f>VLOOKUP($A69,'Página22'!$A$1:$S$27,COLUMN(),TRUE)</f>
        <v>0.3505413109</v>
      </c>
      <c r="N69" s="48">
        <f>VLOOKUP($A69,'Página22'!$A$1:$S$27,COLUMN(),TRUE)</f>
        <v>0.9975867447</v>
      </c>
      <c r="O69" s="48">
        <f>VLOOKUP($A69,'Página22'!$A$1:$S$27,COLUMN(),TRUE)</f>
        <v>0.1096103826</v>
      </c>
      <c r="P69" s="48">
        <f>VLOOKUP($A69,'Página22'!$A$1:$S$27,COLUMN(),TRUE)</f>
        <v>0.9978026901</v>
      </c>
      <c r="Q69" s="48">
        <f>VLOOKUP($A69,'Página22'!$A$1:$S$27,COLUMN(),TRUE)</f>
        <v>0.3944878565</v>
      </c>
      <c r="R69" s="48">
        <f>VLOOKUP($A69,'Página22'!$A$1:$S$27,COLUMN(),TRUE)</f>
        <v>0.997800223</v>
      </c>
      <c r="S69" s="48">
        <f>VLOOKUP($A69,'Página22'!$A$1:$S$27,COLUMN(),TRUE)</f>
        <v>0.1233519803</v>
      </c>
      <c r="T69" s="73">
        <f t="shared" si="5"/>
        <v>2021</v>
      </c>
      <c r="U69" s="73">
        <f t="shared" si="6"/>
        <v>8</v>
      </c>
    </row>
    <row r="70">
      <c r="A70" s="34">
        <v>44440.0</v>
      </c>
      <c r="B70" s="48">
        <f t="shared" si="1"/>
        <v>1.313076926</v>
      </c>
      <c r="C70" s="48">
        <f>IF(MONTH($A70)=12,2.333,1)*VLOOKUP($A70,'Página22'!$A$1:$S$27,COLUMN(),TRUE)</f>
        <v>1.052631579</v>
      </c>
      <c r="D70" s="48">
        <f t="shared" si="2"/>
        <v>1.096236114</v>
      </c>
      <c r="E70" s="48">
        <f>IF(MONTH($A70)=12,2.333,1)*VLOOKUP($A70,'Página22'!$A$1:$S$27,COLUMN(),TRUE)</f>
        <v>1.052631579</v>
      </c>
      <c r="F70" s="48">
        <f>IF(MONTH($A70)=12,2.333,1)*VLOOKUP($A70,'Página22'!$A$1:$S$27,COLUMN(),TRUE)</f>
        <v>1</v>
      </c>
      <c r="G70" s="48">
        <f t="shared" si="3"/>
        <v>1.35284185</v>
      </c>
      <c r="H70" s="48">
        <f>IF(MONTH($A70)=12,2.333,1)*VLOOKUP($A70,'Página22'!$A$1:$S$27,COLUMN(),TRUE)</f>
        <v>1.047976065</v>
      </c>
      <c r="I70" s="48">
        <f t="shared" si="4"/>
        <v>1.108817033</v>
      </c>
      <c r="J70" s="48">
        <f>IF(MONTH($A70)=12,2.333,1)*VLOOKUP($A70,'Página22'!$A$1:$S$27,COLUMN(),TRUE)</f>
        <v>1.047976065</v>
      </c>
      <c r="K70" s="48">
        <f>IF(MONTH($A70)=12,2.333,1)*VLOOKUP($A70,'Página22'!$A$1:$S$27,COLUMN(),TRUE)</f>
        <v>1</v>
      </c>
      <c r="L70" s="48">
        <f>VLOOKUP($A70,'Página22'!$A$1:$S$27,COLUMN(),TRUE)</f>
        <v>0.9975896677</v>
      </c>
      <c r="M70" s="48">
        <f>VLOOKUP($A70,'Página22'!$A$1:$S$27,COLUMN(),TRUE)</f>
        <v>0.3505413109</v>
      </c>
      <c r="N70" s="48">
        <f>VLOOKUP($A70,'Página22'!$A$1:$S$27,COLUMN(),TRUE)</f>
        <v>0.9975867447</v>
      </c>
      <c r="O70" s="48">
        <f>VLOOKUP($A70,'Página22'!$A$1:$S$27,COLUMN(),TRUE)</f>
        <v>0.1096103826</v>
      </c>
      <c r="P70" s="48">
        <f>VLOOKUP($A70,'Página22'!$A$1:$S$27,COLUMN(),TRUE)</f>
        <v>0.9978026901</v>
      </c>
      <c r="Q70" s="48">
        <f>VLOOKUP($A70,'Página22'!$A$1:$S$27,COLUMN(),TRUE)</f>
        <v>0.3944878565</v>
      </c>
      <c r="R70" s="48">
        <f>VLOOKUP($A70,'Página22'!$A$1:$S$27,COLUMN(),TRUE)</f>
        <v>0.997800223</v>
      </c>
      <c r="S70" s="48">
        <f>VLOOKUP($A70,'Página22'!$A$1:$S$27,COLUMN(),TRUE)</f>
        <v>0.1233519803</v>
      </c>
      <c r="T70" s="73">
        <f t="shared" si="5"/>
        <v>2021</v>
      </c>
      <c r="U70" s="73">
        <f t="shared" si="6"/>
        <v>9</v>
      </c>
    </row>
    <row r="71">
      <c r="A71" s="34">
        <v>44470.0</v>
      </c>
      <c r="B71" s="48">
        <f t="shared" si="1"/>
        <v>1.313076926</v>
      </c>
      <c r="C71" s="48">
        <f>IF(MONTH($A71)=12,2.333,1)*VLOOKUP($A71,'Página22'!$A$1:$S$27,COLUMN(),TRUE)</f>
        <v>1.052631579</v>
      </c>
      <c r="D71" s="48">
        <f t="shared" si="2"/>
        <v>1.096236114</v>
      </c>
      <c r="E71" s="48">
        <f>IF(MONTH($A71)=12,2.333,1)*VLOOKUP($A71,'Página22'!$A$1:$S$27,COLUMN(),TRUE)</f>
        <v>1.052631579</v>
      </c>
      <c r="F71" s="48">
        <f>IF(MONTH($A71)=12,2.333,1)*VLOOKUP($A71,'Página22'!$A$1:$S$27,COLUMN(),TRUE)</f>
        <v>1</v>
      </c>
      <c r="G71" s="48">
        <f t="shared" si="3"/>
        <v>1.35284185</v>
      </c>
      <c r="H71" s="48">
        <f>IF(MONTH($A71)=12,2.333,1)*VLOOKUP($A71,'Página22'!$A$1:$S$27,COLUMN(),TRUE)</f>
        <v>1.047976065</v>
      </c>
      <c r="I71" s="48">
        <f t="shared" si="4"/>
        <v>1.108817033</v>
      </c>
      <c r="J71" s="48">
        <f>IF(MONTH($A71)=12,2.333,1)*VLOOKUP($A71,'Página22'!$A$1:$S$27,COLUMN(),TRUE)</f>
        <v>1.047976065</v>
      </c>
      <c r="K71" s="48">
        <f>IF(MONTH($A71)=12,2.333,1)*VLOOKUP($A71,'Página22'!$A$1:$S$27,COLUMN(),TRUE)</f>
        <v>1</v>
      </c>
      <c r="L71" s="48">
        <f>VLOOKUP($A71,'Página22'!$A$1:$S$27,COLUMN(),TRUE)</f>
        <v>0.9975896677</v>
      </c>
      <c r="M71" s="48">
        <f>VLOOKUP($A71,'Página22'!$A$1:$S$27,COLUMN(),TRUE)</f>
        <v>0.3505413109</v>
      </c>
      <c r="N71" s="48">
        <f>VLOOKUP($A71,'Página22'!$A$1:$S$27,COLUMN(),TRUE)</f>
        <v>0.9975867447</v>
      </c>
      <c r="O71" s="48">
        <f>VLOOKUP($A71,'Página22'!$A$1:$S$27,COLUMN(),TRUE)</f>
        <v>0.1096103826</v>
      </c>
      <c r="P71" s="48">
        <f>VLOOKUP($A71,'Página22'!$A$1:$S$27,COLUMN(),TRUE)</f>
        <v>0.9978026901</v>
      </c>
      <c r="Q71" s="48">
        <f>VLOOKUP($A71,'Página22'!$A$1:$S$27,COLUMN(),TRUE)</f>
        <v>0.3944878565</v>
      </c>
      <c r="R71" s="48">
        <f>VLOOKUP($A71,'Página22'!$A$1:$S$27,COLUMN(),TRUE)</f>
        <v>0.997800223</v>
      </c>
      <c r="S71" s="48">
        <f>VLOOKUP($A71,'Página22'!$A$1:$S$27,COLUMN(),TRUE)</f>
        <v>0.1233519803</v>
      </c>
      <c r="T71" s="73">
        <f t="shared" si="5"/>
        <v>2021</v>
      </c>
      <c r="U71" s="73">
        <f t="shared" si="6"/>
        <v>10</v>
      </c>
    </row>
    <row r="72">
      <c r="A72" s="34">
        <v>44501.0</v>
      </c>
      <c r="B72" s="48">
        <f t="shared" si="1"/>
        <v>1.313076926</v>
      </c>
      <c r="C72" s="48">
        <f>IF(MONTH($A72)=12,2.333,1)*VLOOKUP($A72,'Página22'!$A$1:$S$27,COLUMN(),TRUE)</f>
        <v>1.052631579</v>
      </c>
      <c r="D72" s="48">
        <f t="shared" si="2"/>
        <v>1.096236114</v>
      </c>
      <c r="E72" s="48">
        <f>IF(MONTH($A72)=12,2.333,1)*VLOOKUP($A72,'Página22'!$A$1:$S$27,COLUMN(),TRUE)</f>
        <v>1.052631579</v>
      </c>
      <c r="F72" s="48">
        <f>IF(MONTH($A72)=12,2.333,1)*VLOOKUP($A72,'Página22'!$A$1:$S$27,COLUMN(),TRUE)</f>
        <v>1</v>
      </c>
      <c r="G72" s="48">
        <f t="shared" si="3"/>
        <v>1.35284185</v>
      </c>
      <c r="H72" s="48">
        <f>IF(MONTH($A72)=12,2.333,1)*VLOOKUP($A72,'Página22'!$A$1:$S$27,COLUMN(),TRUE)</f>
        <v>1.047976065</v>
      </c>
      <c r="I72" s="48">
        <f t="shared" si="4"/>
        <v>1.108817033</v>
      </c>
      <c r="J72" s="48">
        <f>IF(MONTH($A72)=12,2.333,1)*VLOOKUP($A72,'Página22'!$A$1:$S$27,COLUMN(),TRUE)</f>
        <v>1.047976065</v>
      </c>
      <c r="K72" s="48">
        <f>IF(MONTH($A72)=12,2.333,1)*VLOOKUP($A72,'Página22'!$A$1:$S$27,COLUMN(),TRUE)</f>
        <v>1</v>
      </c>
      <c r="L72" s="48">
        <f>VLOOKUP($A72,'Página22'!$A$1:$S$27,COLUMN(),TRUE)</f>
        <v>0.9975896677</v>
      </c>
      <c r="M72" s="48">
        <f>VLOOKUP($A72,'Página22'!$A$1:$S$27,COLUMN(),TRUE)</f>
        <v>0.3505413109</v>
      </c>
      <c r="N72" s="48">
        <f>VLOOKUP($A72,'Página22'!$A$1:$S$27,COLUMN(),TRUE)</f>
        <v>0.9975867447</v>
      </c>
      <c r="O72" s="48">
        <f>VLOOKUP($A72,'Página22'!$A$1:$S$27,COLUMN(),TRUE)</f>
        <v>0.1096103826</v>
      </c>
      <c r="P72" s="48">
        <f>VLOOKUP($A72,'Página22'!$A$1:$S$27,COLUMN(),TRUE)</f>
        <v>0.9978026901</v>
      </c>
      <c r="Q72" s="48">
        <f>VLOOKUP($A72,'Página22'!$A$1:$S$27,COLUMN(),TRUE)</f>
        <v>0.3944878565</v>
      </c>
      <c r="R72" s="48">
        <f>VLOOKUP($A72,'Página22'!$A$1:$S$27,COLUMN(),TRUE)</f>
        <v>0.997800223</v>
      </c>
      <c r="S72" s="48">
        <f>VLOOKUP($A72,'Página22'!$A$1:$S$27,COLUMN(),TRUE)</f>
        <v>0.1233519803</v>
      </c>
      <c r="T72" s="73">
        <f t="shared" si="5"/>
        <v>2021</v>
      </c>
      <c r="U72" s="73">
        <f t="shared" si="6"/>
        <v>11</v>
      </c>
    </row>
    <row r="73">
      <c r="A73" s="34">
        <v>44531.0</v>
      </c>
      <c r="B73" s="48">
        <f t="shared" si="1"/>
        <v>3.063408469</v>
      </c>
      <c r="C73" s="48">
        <f>IF(MONTH($A73)=12,2.333,1)*VLOOKUP($A73,'Página22'!$A$1:$S$27,COLUMN(),TRUE)</f>
        <v>2.455789474</v>
      </c>
      <c r="D73" s="48">
        <f t="shared" si="2"/>
        <v>2.557518853</v>
      </c>
      <c r="E73" s="48">
        <f>IF(MONTH($A73)=12,2.333,1)*VLOOKUP($A73,'Página22'!$A$1:$S$27,COLUMN(),TRUE)</f>
        <v>2.455789474</v>
      </c>
      <c r="F73" s="48">
        <f>IF(MONTH($A73)=12,2.333,1)*VLOOKUP($A73,'Página22'!$A$1:$S$27,COLUMN(),TRUE)</f>
        <v>2.333</v>
      </c>
      <c r="G73" s="48">
        <f t="shared" si="3"/>
        <v>3.156180035</v>
      </c>
      <c r="H73" s="48">
        <f>IF(MONTH($A73)=12,2.333,1)*VLOOKUP($A73,'Página22'!$A$1:$S$27,COLUMN(),TRUE)</f>
        <v>2.444928159</v>
      </c>
      <c r="I73" s="48">
        <f t="shared" si="4"/>
        <v>2.586870138</v>
      </c>
      <c r="J73" s="48">
        <f>IF(MONTH($A73)=12,2.333,1)*VLOOKUP($A73,'Página22'!$A$1:$S$27,COLUMN(),TRUE)</f>
        <v>2.444928159</v>
      </c>
      <c r="K73" s="48">
        <f>IF(MONTH($A73)=12,2.333,1)*VLOOKUP($A73,'Página22'!$A$1:$S$27,COLUMN(),TRUE)</f>
        <v>2.333</v>
      </c>
      <c r="L73" s="48">
        <f>VLOOKUP($A73,'Página22'!$A$1:$S$27,COLUMN(),TRUE)</f>
        <v>0.9975896677</v>
      </c>
      <c r="M73" s="48">
        <f>VLOOKUP($A73,'Página22'!$A$1:$S$27,COLUMN(),TRUE)</f>
        <v>0.3505413109</v>
      </c>
      <c r="N73" s="48">
        <f>VLOOKUP($A73,'Página22'!$A$1:$S$27,COLUMN(),TRUE)</f>
        <v>0.9975867447</v>
      </c>
      <c r="O73" s="48">
        <f>VLOOKUP($A73,'Página22'!$A$1:$S$27,COLUMN(),TRUE)</f>
        <v>0.1096103826</v>
      </c>
      <c r="P73" s="48">
        <f>VLOOKUP($A73,'Página22'!$A$1:$S$27,COLUMN(),TRUE)</f>
        <v>0.9978026901</v>
      </c>
      <c r="Q73" s="48">
        <f>VLOOKUP($A73,'Página22'!$A$1:$S$27,COLUMN(),TRUE)</f>
        <v>0.3944878565</v>
      </c>
      <c r="R73" s="48">
        <f>VLOOKUP($A73,'Página22'!$A$1:$S$27,COLUMN(),TRUE)</f>
        <v>0.997800223</v>
      </c>
      <c r="S73" s="48">
        <f>VLOOKUP($A73,'Página22'!$A$1:$S$27,COLUMN(),TRUE)</f>
        <v>0.1233519803</v>
      </c>
      <c r="T73" s="73">
        <f t="shared" si="5"/>
        <v>2021</v>
      </c>
      <c r="U73" s="73">
        <f t="shared" si="6"/>
        <v>12</v>
      </c>
    </row>
    <row r="74">
      <c r="A74" s="34">
        <v>44562.0</v>
      </c>
      <c r="B74" s="48">
        <f t="shared" ref="B74:B145" si="7">IF(MONTH($A74)=12,2.333,1)*(L74+(M74/13.33333)*13)</f>
        <v>1.418893528</v>
      </c>
      <c r="C74" s="48">
        <f>IF(MONTH($A74)=12,2.333,1)*VLOOKUP($A74,'Página22'!$A$1:$S$27,COLUMN(),TRUE)</f>
        <v>1.052631579</v>
      </c>
      <c r="D74" s="48">
        <f t="shared" si="2"/>
        <v>1.096236114</v>
      </c>
      <c r="E74" s="48">
        <f>IF(MONTH($A74)=12,2.333,1)*VLOOKUP($A74,'Página22'!$A$1:$S$27,COLUMN(),TRUE)</f>
        <v>1.052631579</v>
      </c>
      <c r="F74" s="48">
        <f>IF(MONTH($A74)=12,2.333,1)*VLOOKUP($A74,'Página22'!$A$1:$S$27,COLUMN(),TRUE)</f>
        <v>1</v>
      </c>
      <c r="G74" s="48">
        <f t="shared" ref="G74:G145" si="8">IF(MONTH($A74)=12,2.333,1)*(P74+(Q74/13.33333)*13)</f>
        <v>1.470055302</v>
      </c>
      <c r="H74" s="48">
        <f>IF(MONTH($A74)=12,2.333,1)*VLOOKUP($A74,'Página22'!$A$1:$S$27,COLUMN(),TRUE)</f>
        <v>1.047786006</v>
      </c>
      <c r="I74" s="48">
        <f t="shared" si="4"/>
        <v>1.108385952</v>
      </c>
      <c r="J74" s="48">
        <f>IF(MONTH($A74)=12,2.333,1)*VLOOKUP($A74,'Página22'!$A$1:$S$27,COLUMN(),TRUE)</f>
        <v>1.047786006</v>
      </c>
      <c r="K74" s="48">
        <f>IF(MONTH($A74)=12,2.333,1)*VLOOKUP($A74,'Página22'!$A$1:$S$27,COLUMN(),TRUE)</f>
        <v>1</v>
      </c>
      <c r="L74" s="48">
        <f>VLOOKUP($A74,'Página22'!$A$1:$S$27,COLUMN(),TRUE)</f>
        <v>0.9975896677</v>
      </c>
      <c r="M74" s="48">
        <f>VLOOKUP($A74,'Página22'!$A$1:$S$27,COLUMN(),TRUE)</f>
        <v>0.4321064156</v>
      </c>
      <c r="N74" s="48">
        <f>VLOOKUP($A74,'Página22'!$A$1:$S$27,COLUMN(),TRUE)</f>
        <v>0.9975867447</v>
      </c>
      <c r="O74" s="48">
        <f>VLOOKUP($A74,'Página22'!$A$1:$S$27,COLUMN(),TRUE)</f>
        <v>0.1096103826</v>
      </c>
      <c r="P74" s="48">
        <f>VLOOKUP($A74,'Página22'!$A$1:$S$27,COLUMN(),TRUE)</f>
        <v>0.9978118043</v>
      </c>
      <c r="Q74" s="48">
        <f>VLOOKUP($A74,'Página22'!$A$1:$S$27,COLUMN(),TRUE)</f>
        <v>0.4843521842</v>
      </c>
      <c r="R74" s="48">
        <f>VLOOKUP($A74,'Página22'!$A$1:$S$27,COLUMN(),TRUE)</f>
        <v>0.9978089375</v>
      </c>
      <c r="S74" s="48">
        <f>VLOOKUP($A74,'Página22'!$A$1:$S$27,COLUMN(),TRUE)</f>
        <v>0.1228633186</v>
      </c>
      <c r="T74" s="73">
        <f t="shared" si="5"/>
        <v>2022</v>
      </c>
      <c r="U74" s="73">
        <f t="shared" si="6"/>
        <v>1</v>
      </c>
    </row>
    <row r="75">
      <c r="A75" s="34">
        <v>44593.0</v>
      </c>
      <c r="B75" s="48">
        <f t="shared" si="7"/>
        <v>1.418893528</v>
      </c>
      <c r="C75" s="48">
        <f>IF(MONTH($A75)=12,2.333,1)*VLOOKUP($A75,'Página22'!$A$1:$S$27,COLUMN(),TRUE)</f>
        <v>1.052631579</v>
      </c>
      <c r="D75" s="48">
        <f t="shared" si="2"/>
        <v>1.096236114</v>
      </c>
      <c r="E75" s="48">
        <f>IF(MONTH($A75)=12,2.333,1)*VLOOKUP($A75,'Página22'!$A$1:$S$27,COLUMN(),TRUE)</f>
        <v>1.052631579</v>
      </c>
      <c r="F75" s="48">
        <f>IF(MONTH($A75)=12,2.333,1)*VLOOKUP($A75,'Página22'!$A$1:$S$27,COLUMN(),TRUE)</f>
        <v>1</v>
      </c>
      <c r="G75" s="48">
        <f t="shared" si="8"/>
        <v>1.470055302</v>
      </c>
      <c r="H75" s="48">
        <f>IF(MONTH($A75)=12,2.333,1)*VLOOKUP($A75,'Página22'!$A$1:$S$27,COLUMN(),TRUE)</f>
        <v>1.047786006</v>
      </c>
      <c r="I75" s="48">
        <f t="shared" si="4"/>
        <v>1.108385952</v>
      </c>
      <c r="J75" s="48">
        <f>IF(MONTH($A75)=12,2.333,1)*VLOOKUP($A75,'Página22'!$A$1:$S$27,COLUMN(),TRUE)</f>
        <v>1.047786006</v>
      </c>
      <c r="K75" s="48">
        <f>IF(MONTH($A75)=12,2.333,1)*VLOOKUP($A75,'Página22'!$A$1:$S$27,COLUMN(),TRUE)</f>
        <v>1</v>
      </c>
      <c r="L75" s="48">
        <f>VLOOKUP($A75,'Página22'!$A$1:$S$27,COLUMN(),TRUE)</f>
        <v>0.9975896677</v>
      </c>
      <c r="M75" s="48">
        <f>VLOOKUP($A75,'Página22'!$A$1:$S$27,COLUMN(),TRUE)</f>
        <v>0.4321064156</v>
      </c>
      <c r="N75" s="48">
        <f>VLOOKUP($A75,'Página22'!$A$1:$S$27,COLUMN(),TRUE)</f>
        <v>0.9975867447</v>
      </c>
      <c r="O75" s="48">
        <f>VLOOKUP($A75,'Página22'!$A$1:$S$27,COLUMN(),TRUE)</f>
        <v>0.1096103826</v>
      </c>
      <c r="P75" s="48">
        <f>VLOOKUP($A75,'Página22'!$A$1:$S$27,COLUMN(),TRUE)</f>
        <v>0.9978118043</v>
      </c>
      <c r="Q75" s="48">
        <f>VLOOKUP($A75,'Página22'!$A$1:$S$27,COLUMN(),TRUE)</f>
        <v>0.4843521842</v>
      </c>
      <c r="R75" s="48">
        <f>VLOOKUP($A75,'Página22'!$A$1:$S$27,COLUMN(),TRUE)</f>
        <v>0.9978089375</v>
      </c>
      <c r="S75" s="48">
        <f>VLOOKUP($A75,'Página22'!$A$1:$S$27,COLUMN(),TRUE)</f>
        <v>0.1228633186</v>
      </c>
      <c r="T75" s="73">
        <f t="shared" si="5"/>
        <v>2022</v>
      </c>
      <c r="U75" s="73">
        <f t="shared" si="6"/>
        <v>2</v>
      </c>
    </row>
    <row r="76">
      <c r="A76" s="34">
        <v>44621.0</v>
      </c>
      <c r="B76" s="48">
        <f t="shared" si="7"/>
        <v>1.418893528</v>
      </c>
      <c r="C76" s="48">
        <f>IF(MONTH($A76)=12,2.333,1)*VLOOKUP($A76,'Página22'!$A$1:$S$27,COLUMN(),TRUE)</f>
        <v>1.052631579</v>
      </c>
      <c r="D76" s="48">
        <f t="shared" si="2"/>
        <v>1.096236114</v>
      </c>
      <c r="E76" s="48">
        <f>IF(MONTH($A76)=12,2.333,1)*VLOOKUP($A76,'Página22'!$A$1:$S$27,COLUMN(),TRUE)</f>
        <v>1.052631579</v>
      </c>
      <c r="F76" s="48">
        <f>IF(MONTH($A76)=12,2.333,1)*VLOOKUP($A76,'Página22'!$A$1:$S$27,COLUMN(),TRUE)</f>
        <v>1</v>
      </c>
      <c r="G76" s="48">
        <f t="shared" si="8"/>
        <v>1.470055302</v>
      </c>
      <c r="H76" s="48">
        <f>IF(MONTH($A76)=12,2.333,1)*VLOOKUP($A76,'Página22'!$A$1:$S$27,COLUMN(),TRUE)</f>
        <v>1.047786006</v>
      </c>
      <c r="I76" s="48">
        <f t="shared" si="4"/>
        <v>1.108385952</v>
      </c>
      <c r="J76" s="48">
        <f>IF(MONTH($A76)=12,2.333,1)*VLOOKUP($A76,'Página22'!$A$1:$S$27,COLUMN(),TRUE)</f>
        <v>1.047786006</v>
      </c>
      <c r="K76" s="48">
        <f>IF(MONTH($A76)=12,2.333,1)*VLOOKUP($A76,'Página22'!$A$1:$S$27,COLUMN(),TRUE)</f>
        <v>1</v>
      </c>
      <c r="L76" s="48">
        <f>VLOOKUP($A76,'Página22'!$A$1:$S$27,COLUMN(),TRUE)</f>
        <v>0.9975896677</v>
      </c>
      <c r="M76" s="48">
        <f>VLOOKUP($A76,'Página22'!$A$1:$S$27,COLUMN(),TRUE)</f>
        <v>0.4321064156</v>
      </c>
      <c r="N76" s="48">
        <f>VLOOKUP($A76,'Página22'!$A$1:$S$27,COLUMN(),TRUE)</f>
        <v>0.9975867447</v>
      </c>
      <c r="O76" s="48">
        <f>VLOOKUP($A76,'Página22'!$A$1:$S$27,COLUMN(),TRUE)</f>
        <v>0.1096103826</v>
      </c>
      <c r="P76" s="48">
        <f>VLOOKUP($A76,'Página22'!$A$1:$S$27,COLUMN(),TRUE)</f>
        <v>0.9978118043</v>
      </c>
      <c r="Q76" s="48">
        <f>VLOOKUP($A76,'Página22'!$A$1:$S$27,COLUMN(),TRUE)</f>
        <v>0.4843521842</v>
      </c>
      <c r="R76" s="48">
        <f>VLOOKUP($A76,'Página22'!$A$1:$S$27,COLUMN(),TRUE)</f>
        <v>0.9978089375</v>
      </c>
      <c r="S76" s="48">
        <f>VLOOKUP($A76,'Página22'!$A$1:$S$27,COLUMN(),TRUE)</f>
        <v>0.1228633186</v>
      </c>
      <c r="T76" s="73">
        <f t="shared" si="5"/>
        <v>2022</v>
      </c>
      <c r="U76" s="73">
        <f t="shared" si="6"/>
        <v>3</v>
      </c>
    </row>
    <row r="77">
      <c r="A77" s="34">
        <v>44652.0</v>
      </c>
      <c r="B77" s="48">
        <f t="shared" si="7"/>
        <v>1.418893528</v>
      </c>
      <c r="C77" s="48">
        <f>IF(MONTH($A77)=12,2.333,1)*VLOOKUP($A77,'Página22'!$A$1:$S$27,COLUMN(),TRUE)</f>
        <v>1.052631579</v>
      </c>
      <c r="D77" s="48">
        <f t="shared" si="2"/>
        <v>1.096236114</v>
      </c>
      <c r="E77" s="48">
        <f>IF(MONTH($A77)=12,2.333,1)*VLOOKUP($A77,'Página22'!$A$1:$S$27,COLUMN(),TRUE)</f>
        <v>1.052631579</v>
      </c>
      <c r="F77" s="48">
        <f>IF(MONTH($A77)=12,2.333,1)*VLOOKUP($A77,'Página22'!$A$1:$S$27,COLUMN(),TRUE)</f>
        <v>1</v>
      </c>
      <c r="G77" s="48">
        <f t="shared" si="8"/>
        <v>1.470055302</v>
      </c>
      <c r="H77" s="48">
        <f>IF(MONTH($A77)=12,2.333,1)*VLOOKUP($A77,'Página22'!$A$1:$S$27,COLUMN(),TRUE)</f>
        <v>1.047786006</v>
      </c>
      <c r="I77" s="48">
        <f t="shared" si="4"/>
        <v>1.108385952</v>
      </c>
      <c r="J77" s="48">
        <f>IF(MONTH($A77)=12,2.333,1)*VLOOKUP($A77,'Página22'!$A$1:$S$27,COLUMN(),TRUE)</f>
        <v>1.047786006</v>
      </c>
      <c r="K77" s="48">
        <f>IF(MONTH($A77)=12,2.333,1)*VLOOKUP($A77,'Página22'!$A$1:$S$27,COLUMN(),TRUE)</f>
        <v>1</v>
      </c>
      <c r="L77" s="48">
        <f>VLOOKUP($A77,'Página22'!$A$1:$S$27,COLUMN(),TRUE)</f>
        <v>0.9975896677</v>
      </c>
      <c r="M77" s="48">
        <f>VLOOKUP($A77,'Página22'!$A$1:$S$27,COLUMN(),TRUE)</f>
        <v>0.4321064156</v>
      </c>
      <c r="N77" s="48">
        <f>VLOOKUP($A77,'Página22'!$A$1:$S$27,COLUMN(),TRUE)</f>
        <v>0.9975867447</v>
      </c>
      <c r="O77" s="48">
        <f>VLOOKUP($A77,'Página22'!$A$1:$S$27,COLUMN(),TRUE)</f>
        <v>0.1096103826</v>
      </c>
      <c r="P77" s="48">
        <f>VLOOKUP($A77,'Página22'!$A$1:$S$27,COLUMN(),TRUE)</f>
        <v>0.9978118043</v>
      </c>
      <c r="Q77" s="48">
        <f>VLOOKUP($A77,'Página22'!$A$1:$S$27,COLUMN(),TRUE)</f>
        <v>0.4843521842</v>
      </c>
      <c r="R77" s="48">
        <f>VLOOKUP($A77,'Página22'!$A$1:$S$27,COLUMN(),TRUE)</f>
        <v>0.9978089375</v>
      </c>
      <c r="S77" s="48">
        <f>VLOOKUP($A77,'Página22'!$A$1:$S$27,COLUMN(),TRUE)</f>
        <v>0.1228633186</v>
      </c>
      <c r="T77" s="73">
        <f t="shared" si="5"/>
        <v>2022</v>
      </c>
      <c r="U77" s="73">
        <f t="shared" si="6"/>
        <v>4</v>
      </c>
    </row>
    <row r="78">
      <c r="A78" s="34">
        <v>44682.0</v>
      </c>
      <c r="B78" s="48">
        <f t="shared" si="7"/>
        <v>1.418893528</v>
      </c>
      <c r="C78" s="48">
        <f>IF(MONTH($A78)=12,2.333,1)*VLOOKUP($A78,'Página22'!$A$1:$S$27,COLUMN(),TRUE)</f>
        <v>1.052631579</v>
      </c>
      <c r="D78" s="48">
        <f t="shared" si="2"/>
        <v>1.096236114</v>
      </c>
      <c r="E78" s="48">
        <f>IF(MONTH($A78)=12,2.333,1)*VLOOKUP($A78,'Página22'!$A$1:$S$27,COLUMN(),TRUE)</f>
        <v>1.052631579</v>
      </c>
      <c r="F78" s="48">
        <f>IF(MONTH($A78)=12,2.333,1)*VLOOKUP($A78,'Página22'!$A$1:$S$27,COLUMN(),TRUE)</f>
        <v>1</v>
      </c>
      <c r="G78" s="48">
        <f t="shared" si="8"/>
        <v>1.470055302</v>
      </c>
      <c r="H78" s="48">
        <f>IF(MONTH($A78)=12,2.333,1)*VLOOKUP($A78,'Página22'!$A$1:$S$27,COLUMN(),TRUE)</f>
        <v>1.047786006</v>
      </c>
      <c r="I78" s="48">
        <f t="shared" si="4"/>
        <v>1.108385952</v>
      </c>
      <c r="J78" s="48">
        <f>IF(MONTH($A78)=12,2.333,1)*VLOOKUP($A78,'Página22'!$A$1:$S$27,COLUMN(),TRUE)</f>
        <v>1.047786006</v>
      </c>
      <c r="K78" s="48">
        <f>IF(MONTH($A78)=12,2.333,1)*VLOOKUP($A78,'Página22'!$A$1:$S$27,COLUMN(),TRUE)</f>
        <v>1</v>
      </c>
      <c r="L78" s="48">
        <f>VLOOKUP($A78,'Página22'!$A$1:$S$27,COLUMN(),TRUE)</f>
        <v>0.9975896677</v>
      </c>
      <c r="M78" s="48">
        <f>VLOOKUP($A78,'Página22'!$A$1:$S$27,COLUMN(),TRUE)</f>
        <v>0.4321064156</v>
      </c>
      <c r="N78" s="48">
        <f>VLOOKUP($A78,'Página22'!$A$1:$S$27,COLUMN(),TRUE)</f>
        <v>0.9975867447</v>
      </c>
      <c r="O78" s="48">
        <f>VLOOKUP($A78,'Página22'!$A$1:$S$27,COLUMN(),TRUE)</f>
        <v>0.1096103826</v>
      </c>
      <c r="P78" s="48">
        <f>VLOOKUP($A78,'Página22'!$A$1:$S$27,COLUMN(),TRUE)</f>
        <v>0.9978118043</v>
      </c>
      <c r="Q78" s="48">
        <f>VLOOKUP($A78,'Página22'!$A$1:$S$27,COLUMN(),TRUE)</f>
        <v>0.4843521842</v>
      </c>
      <c r="R78" s="48">
        <f>VLOOKUP($A78,'Página22'!$A$1:$S$27,COLUMN(),TRUE)</f>
        <v>0.9978089375</v>
      </c>
      <c r="S78" s="48">
        <f>VLOOKUP($A78,'Página22'!$A$1:$S$27,COLUMN(),TRUE)</f>
        <v>0.1228633186</v>
      </c>
      <c r="T78" s="73">
        <f t="shared" si="5"/>
        <v>2022</v>
      </c>
      <c r="U78" s="73">
        <f t="shared" si="6"/>
        <v>5</v>
      </c>
    </row>
    <row r="79">
      <c r="A79" s="34">
        <v>44713.0</v>
      </c>
      <c r="B79" s="48">
        <f t="shared" si="7"/>
        <v>1.418893528</v>
      </c>
      <c r="C79" s="48">
        <f>IF(MONTH($A79)=12,2.333,1)*VLOOKUP($A79,'Página22'!$A$1:$S$27,COLUMN(),TRUE)</f>
        <v>1.052631579</v>
      </c>
      <c r="D79" s="48">
        <f t="shared" si="2"/>
        <v>1.096236114</v>
      </c>
      <c r="E79" s="48">
        <f>IF(MONTH($A79)=12,2.333,1)*VLOOKUP($A79,'Página22'!$A$1:$S$27,COLUMN(),TRUE)</f>
        <v>1.052631579</v>
      </c>
      <c r="F79" s="48">
        <f>IF(MONTH($A79)=12,2.333,1)*VLOOKUP($A79,'Página22'!$A$1:$S$27,COLUMN(),TRUE)</f>
        <v>1</v>
      </c>
      <c r="G79" s="48">
        <f t="shared" si="8"/>
        <v>1.470055302</v>
      </c>
      <c r="H79" s="48">
        <f>IF(MONTH($A79)=12,2.333,1)*VLOOKUP($A79,'Página22'!$A$1:$S$27,COLUMN(),TRUE)</f>
        <v>1.047786006</v>
      </c>
      <c r="I79" s="48">
        <f t="shared" si="4"/>
        <v>1.108385952</v>
      </c>
      <c r="J79" s="48">
        <f>IF(MONTH($A79)=12,2.333,1)*VLOOKUP($A79,'Página22'!$A$1:$S$27,COLUMN(),TRUE)</f>
        <v>1.047786006</v>
      </c>
      <c r="K79" s="48">
        <f>IF(MONTH($A79)=12,2.333,1)*VLOOKUP($A79,'Página22'!$A$1:$S$27,COLUMN(),TRUE)</f>
        <v>1</v>
      </c>
      <c r="L79" s="48">
        <f>VLOOKUP($A79,'Página22'!$A$1:$S$27,COLUMN(),TRUE)</f>
        <v>0.9975896677</v>
      </c>
      <c r="M79" s="48">
        <f>VLOOKUP($A79,'Página22'!$A$1:$S$27,COLUMN(),TRUE)</f>
        <v>0.4321064156</v>
      </c>
      <c r="N79" s="48">
        <f>VLOOKUP($A79,'Página22'!$A$1:$S$27,COLUMN(),TRUE)</f>
        <v>0.9975867447</v>
      </c>
      <c r="O79" s="48">
        <f>VLOOKUP($A79,'Página22'!$A$1:$S$27,COLUMN(),TRUE)</f>
        <v>0.1096103826</v>
      </c>
      <c r="P79" s="48">
        <f>VLOOKUP($A79,'Página22'!$A$1:$S$27,COLUMN(),TRUE)</f>
        <v>0.9978118043</v>
      </c>
      <c r="Q79" s="48">
        <f>VLOOKUP($A79,'Página22'!$A$1:$S$27,COLUMN(),TRUE)</f>
        <v>0.4843521842</v>
      </c>
      <c r="R79" s="48">
        <f>VLOOKUP($A79,'Página22'!$A$1:$S$27,COLUMN(),TRUE)</f>
        <v>0.9978089375</v>
      </c>
      <c r="S79" s="48">
        <f>VLOOKUP($A79,'Página22'!$A$1:$S$27,COLUMN(),TRUE)</f>
        <v>0.1228633186</v>
      </c>
      <c r="T79" s="73">
        <f t="shared" si="5"/>
        <v>2022</v>
      </c>
      <c r="U79" s="73">
        <f t="shared" si="6"/>
        <v>6</v>
      </c>
    </row>
    <row r="80">
      <c r="A80" s="34">
        <v>44743.0</v>
      </c>
      <c r="B80" s="48">
        <f t="shared" si="7"/>
        <v>1.418893528</v>
      </c>
      <c r="C80" s="48">
        <f>IF(MONTH($A80)=12,2.333,1)*VLOOKUP($A80,'Página22'!$A$1:$S$27,COLUMN(),TRUE)</f>
        <v>1.052631579</v>
      </c>
      <c r="D80" s="48">
        <f t="shared" si="2"/>
        <v>1.096236114</v>
      </c>
      <c r="E80" s="48">
        <f>IF(MONTH($A80)=12,2.333,1)*VLOOKUP($A80,'Página22'!$A$1:$S$27,COLUMN(),TRUE)</f>
        <v>1.052631579</v>
      </c>
      <c r="F80" s="48">
        <f>IF(MONTH($A80)=12,2.333,1)*VLOOKUP($A80,'Página22'!$A$1:$S$27,COLUMN(),TRUE)</f>
        <v>1</v>
      </c>
      <c r="G80" s="48">
        <f t="shared" si="8"/>
        <v>1.470055302</v>
      </c>
      <c r="H80" s="48">
        <f>IF(MONTH($A80)=12,2.333,1)*VLOOKUP($A80,'Página22'!$A$1:$S$27,COLUMN(),TRUE)</f>
        <v>1.047786006</v>
      </c>
      <c r="I80" s="48">
        <f t="shared" si="4"/>
        <v>1.108385952</v>
      </c>
      <c r="J80" s="48">
        <f>IF(MONTH($A80)=12,2.333,1)*VLOOKUP($A80,'Página22'!$A$1:$S$27,COLUMN(),TRUE)</f>
        <v>1.047786006</v>
      </c>
      <c r="K80" s="48">
        <f>IF(MONTH($A80)=12,2.333,1)*VLOOKUP($A80,'Página22'!$A$1:$S$27,COLUMN(),TRUE)</f>
        <v>1</v>
      </c>
      <c r="L80" s="48">
        <f>VLOOKUP($A80,'Página22'!$A$1:$S$27,COLUMN(),TRUE)</f>
        <v>0.9975896677</v>
      </c>
      <c r="M80" s="48">
        <f>VLOOKUP($A80,'Página22'!$A$1:$S$27,COLUMN(),TRUE)</f>
        <v>0.4321064156</v>
      </c>
      <c r="N80" s="48">
        <f>VLOOKUP($A80,'Página22'!$A$1:$S$27,COLUMN(),TRUE)</f>
        <v>0.9975867447</v>
      </c>
      <c r="O80" s="48">
        <f>VLOOKUP($A80,'Página22'!$A$1:$S$27,COLUMN(),TRUE)</f>
        <v>0.1096103826</v>
      </c>
      <c r="P80" s="48">
        <f>VLOOKUP($A80,'Página22'!$A$1:$S$27,COLUMN(),TRUE)</f>
        <v>0.9978118043</v>
      </c>
      <c r="Q80" s="48">
        <f>VLOOKUP($A80,'Página22'!$A$1:$S$27,COLUMN(),TRUE)</f>
        <v>0.4843521842</v>
      </c>
      <c r="R80" s="48">
        <f>VLOOKUP($A80,'Página22'!$A$1:$S$27,COLUMN(),TRUE)</f>
        <v>0.9978089375</v>
      </c>
      <c r="S80" s="48">
        <f>VLOOKUP($A80,'Página22'!$A$1:$S$27,COLUMN(),TRUE)</f>
        <v>0.1228633186</v>
      </c>
      <c r="T80" s="73">
        <f t="shared" si="5"/>
        <v>2022</v>
      </c>
      <c r="U80" s="73">
        <f t="shared" si="6"/>
        <v>7</v>
      </c>
    </row>
    <row r="81">
      <c r="A81" s="34">
        <v>44774.0</v>
      </c>
      <c r="B81" s="48">
        <f t="shared" si="7"/>
        <v>1.418893528</v>
      </c>
      <c r="C81" s="48">
        <f>IF(MONTH($A81)=12,2.333,1)*VLOOKUP($A81,'Página22'!$A$1:$S$27,COLUMN(),TRUE)</f>
        <v>1.052631579</v>
      </c>
      <c r="D81" s="48">
        <f t="shared" si="2"/>
        <v>1.096236114</v>
      </c>
      <c r="E81" s="48">
        <f>IF(MONTH($A81)=12,2.333,1)*VLOOKUP($A81,'Página22'!$A$1:$S$27,COLUMN(),TRUE)</f>
        <v>1.052631579</v>
      </c>
      <c r="F81" s="48">
        <f>IF(MONTH($A81)=12,2.333,1)*VLOOKUP($A81,'Página22'!$A$1:$S$27,COLUMN(),TRUE)</f>
        <v>1</v>
      </c>
      <c r="G81" s="48">
        <f t="shared" si="8"/>
        <v>1.470055302</v>
      </c>
      <c r="H81" s="48">
        <f>IF(MONTH($A81)=12,2.333,1)*VLOOKUP($A81,'Página22'!$A$1:$S$27,COLUMN(),TRUE)</f>
        <v>1.047786006</v>
      </c>
      <c r="I81" s="48">
        <f t="shared" si="4"/>
        <v>1.108385952</v>
      </c>
      <c r="J81" s="48">
        <f>IF(MONTH($A81)=12,2.333,1)*VLOOKUP($A81,'Página22'!$A$1:$S$27,COLUMN(),TRUE)</f>
        <v>1.047786006</v>
      </c>
      <c r="K81" s="48">
        <f>IF(MONTH($A81)=12,2.333,1)*VLOOKUP($A81,'Página22'!$A$1:$S$27,COLUMN(),TRUE)</f>
        <v>1</v>
      </c>
      <c r="L81" s="48">
        <f>VLOOKUP($A81,'Página22'!$A$1:$S$27,COLUMN(),TRUE)</f>
        <v>0.9975896677</v>
      </c>
      <c r="M81" s="48">
        <f>VLOOKUP($A81,'Página22'!$A$1:$S$27,COLUMN(),TRUE)</f>
        <v>0.4321064156</v>
      </c>
      <c r="N81" s="48">
        <f>VLOOKUP($A81,'Página22'!$A$1:$S$27,COLUMN(),TRUE)</f>
        <v>0.9975867447</v>
      </c>
      <c r="O81" s="48">
        <f>VLOOKUP($A81,'Página22'!$A$1:$S$27,COLUMN(),TRUE)</f>
        <v>0.1096103826</v>
      </c>
      <c r="P81" s="48">
        <f>VLOOKUP($A81,'Página22'!$A$1:$S$27,COLUMN(),TRUE)</f>
        <v>0.9978118043</v>
      </c>
      <c r="Q81" s="48">
        <f>VLOOKUP($A81,'Página22'!$A$1:$S$27,COLUMN(),TRUE)</f>
        <v>0.4843521842</v>
      </c>
      <c r="R81" s="48">
        <f>VLOOKUP($A81,'Página22'!$A$1:$S$27,COLUMN(),TRUE)</f>
        <v>0.9978089375</v>
      </c>
      <c r="S81" s="48">
        <f>VLOOKUP($A81,'Página22'!$A$1:$S$27,COLUMN(),TRUE)</f>
        <v>0.1228633186</v>
      </c>
      <c r="T81" s="73">
        <f t="shared" si="5"/>
        <v>2022</v>
      </c>
      <c r="U81" s="73">
        <f t="shared" si="6"/>
        <v>8</v>
      </c>
    </row>
    <row r="82">
      <c r="A82" s="34">
        <v>44805.0</v>
      </c>
      <c r="B82" s="48">
        <f t="shared" si="7"/>
        <v>1.418893528</v>
      </c>
      <c r="C82" s="48">
        <f>IF(MONTH($A82)=12,2.333,1)*VLOOKUP($A82,'Página22'!$A$1:$S$27,COLUMN(),TRUE)</f>
        <v>1.052631579</v>
      </c>
      <c r="D82" s="48">
        <f t="shared" si="2"/>
        <v>1.096236114</v>
      </c>
      <c r="E82" s="48">
        <f>IF(MONTH($A82)=12,2.333,1)*VLOOKUP($A82,'Página22'!$A$1:$S$27,COLUMN(),TRUE)</f>
        <v>1.052631579</v>
      </c>
      <c r="F82" s="48">
        <f>IF(MONTH($A82)=12,2.333,1)*VLOOKUP($A82,'Página22'!$A$1:$S$27,COLUMN(),TRUE)</f>
        <v>1</v>
      </c>
      <c r="G82" s="48">
        <f t="shared" si="8"/>
        <v>1.470055302</v>
      </c>
      <c r="H82" s="48">
        <f>IF(MONTH($A82)=12,2.333,1)*VLOOKUP($A82,'Página22'!$A$1:$S$27,COLUMN(),TRUE)</f>
        <v>1.047786006</v>
      </c>
      <c r="I82" s="48">
        <f t="shared" si="4"/>
        <v>1.108385952</v>
      </c>
      <c r="J82" s="48">
        <f>IF(MONTH($A82)=12,2.333,1)*VLOOKUP($A82,'Página22'!$A$1:$S$27,COLUMN(),TRUE)</f>
        <v>1.047786006</v>
      </c>
      <c r="K82" s="48">
        <f>IF(MONTH($A82)=12,2.333,1)*VLOOKUP($A82,'Página22'!$A$1:$S$27,COLUMN(),TRUE)</f>
        <v>1</v>
      </c>
      <c r="L82" s="48">
        <f>VLOOKUP($A82,'Página22'!$A$1:$S$27,COLUMN(),TRUE)</f>
        <v>0.9975896677</v>
      </c>
      <c r="M82" s="48">
        <f>VLOOKUP($A82,'Página22'!$A$1:$S$27,COLUMN(),TRUE)</f>
        <v>0.4321064156</v>
      </c>
      <c r="N82" s="48">
        <f>VLOOKUP($A82,'Página22'!$A$1:$S$27,COLUMN(),TRUE)</f>
        <v>0.9975867447</v>
      </c>
      <c r="O82" s="48">
        <f>VLOOKUP($A82,'Página22'!$A$1:$S$27,COLUMN(),TRUE)</f>
        <v>0.1096103826</v>
      </c>
      <c r="P82" s="48">
        <f>VLOOKUP($A82,'Página22'!$A$1:$S$27,COLUMN(),TRUE)</f>
        <v>0.9978118043</v>
      </c>
      <c r="Q82" s="48">
        <f>VLOOKUP($A82,'Página22'!$A$1:$S$27,COLUMN(),TRUE)</f>
        <v>0.4843521842</v>
      </c>
      <c r="R82" s="48">
        <f>VLOOKUP($A82,'Página22'!$A$1:$S$27,COLUMN(),TRUE)</f>
        <v>0.9978089375</v>
      </c>
      <c r="S82" s="48">
        <f>VLOOKUP($A82,'Página22'!$A$1:$S$27,COLUMN(),TRUE)</f>
        <v>0.1228633186</v>
      </c>
      <c r="T82" s="73">
        <f t="shared" si="5"/>
        <v>2022</v>
      </c>
      <c r="U82" s="73">
        <f t="shared" si="6"/>
        <v>9</v>
      </c>
    </row>
    <row r="83">
      <c r="A83" s="34">
        <v>44835.0</v>
      </c>
      <c r="B83" s="48">
        <f t="shared" si="7"/>
        <v>1.418893528</v>
      </c>
      <c r="C83" s="48">
        <f>IF(MONTH($A83)=12,2.333,1)*VLOOKUP($A83,'Página22'!$A$1:$S$27,COLUMN(),TRUE)</f>
        <v>1.052631579</v>
      </c>
      <c r="D83" s="48">
        <f t="shared" si="2"/>
        <v>1.096236114</v>
      </c>
      <c r="E83" s="48">
        <f>IF(MONTH($A83)=12,2.333,1)*VLOOKUP($A83,'Página22'!$A$1:$S$27,COLUMN(),TRUE)</f>
        <v>1.052631579</v>
      </c>
      <c r="F83" s="48">
        <f>IF(MONTH($A83)=12,2.333,1)*VLOOKUP($A83,'Página22'!$A$1:$S$27,COLUMN(),TRUE)</f>
        <v>1</v>
      </c>
      <c r="G83" s="48">
        <f t="shared" si="8"/>
        <v>1.470055302</v>
      </c>
      <c r="H83" s="48">
        <f>IF(MONTH($A83)=12,2.333,1)*VLOOKUP($A83,'Página22'!$A$1:$S$27,COLUMN(),TRUE)</f>
        <v>1.047786006</v>
      </c>
      <c r="I83" s="48">
        <f t="shared" si="4"/>
        <v>1.108385952</v>
      </c>
      <c r="J83" s="48">
        <f>IF(MONTH($A83)=12,2.333,1)*VLOOKUP($A83,'Página22'!$A$1:$S$27,COLUMN(),TRUE)</f>
        <v>1.047786006</v>
      </c>
      <c r="K83" s="48">
        <f>IF(MONTH($A83)=12,2.333,1)*VLOOKUP($A83,'Página22'!$A$1:$S$27,COLUMN(),TRUE)</f>
        <v>1</v>
      </c>
      <c r="L83" s="48">
        <f>VLOOKUP($A83,'Página22'!$A$1:$S$27,COLUMN(),TRUE)</f>
        <v>0.9975896677</v>
      </c>
      <c r="M83" s="48">
        <f>VLOOKUP($A83,'Página22'!$A$1:$S$27,COLUMN(),TRUE)</f>
        <v>0.4321064156</v>
      </c>
      <c r="N83" s="48">
        <f>VLOOKUP($A83,'Página22'!$A$1:$S$27,COLUMN(),TRUE)</f>
        <v>0.9975867447</v>
      </c>
      <c r="O83" s="48">
        <f>VLOOKUP($A83,'Página22'!$A$1:$S$27,COLUMN(),TRUE)</f>
        <v>0.1096103826</v>
      </c>
      <c r="P83" s="48">
        <f>VLOOKUP($A83,'Página22'!$A$1:$S$27,COLUMN(),TRUE)</f>
        <v>0.9978118043</v>
      </c>
      <c r="Q83" s="48">
        <f>VLOOKUP($A83,'Página22'!$A$1:$S$27,COLUMN(),TRUE)</f>
        <v>0.4843521842</v>
      </c>
      <c r="R83" s="48">
        <f>VLOOKUP($A83,'Página22'!$A$1:$S$27,COLUMN(),TRUE)</f>
        <v>0.9978089375</v>
      </c>
      <c r="S83" s="48">
        <f>VLOOKUP($A83,'Página22'!$A$1:$S$27,COLUMN(),TRUE)</f>
        <v>0.1228633186</v>
      </c>
      <c r="T83" s="73">
        <f t="shared" si="5"/>
        <v>2022</v>
      </c>
      <c r="U83" s="73">
        <f t="shared" si="6"/>
        <v>10</v>
      </c>
    </row>
    <row r="84">
      <c r="A84" s="34">
        <v>44866.0</v>
      </c>
      <c r="B84" s="48">
        <f t="shared" si="7"/>
        <v>1.418893528</v>
      </c>
      <c r="C84" s="48">
        <f>IF(MONTH($A84)=12,2.333,1)*VLOOKUP($A84,'Página22'!$A$1:$S$27,COLUMN(),TRUE)</f>
        <v>1.052631579</v>
      </c>
      <c r="D84" s="48">
        <f t="shared" si="2"/>
        <v>1.096236114</v>
      </c>
      <c r="E84" s="48">
        <f>IF(MONTH($A84)=12,2.333,1)*VLOOKUP($A84,'Página22'!$A$1:$S$27,COLUMN(),TRUE)</f>
        <v>1.052631579</v>
      </c>
      <c r="F84" s="48">
        <f>IF(MONTH($A84)=12,2.333,1)*VLOOKUP($A84,'Página22'!$A$1:$S$27,COLUMN(),TRUE)</f>
        <v>1</v>
      </c>
      <c r="G84" s="48">
        <f t="shared" si="8"/>
        <v>1.470055302</v>
      </c>
      <c r="H84" s="48">
        <f>IF(MONTH($A84)=12,2.333,1)*VLOOKUP($A84,'Página22'!$A$1:$S$27,COLUMN(),TRUE)</f>
        <v>1.047786006</v>
      </c>
      <c r="I84" s="48">
        <f t="shared" si="4"/>
        <v>1.108385952</v>
      </c>
      <c r="J84" s="48">
        <f>IF(MONTH($A84)=12,2.333,1)*VLOOKUP($A84,'Página22'!$A$1:$S$27,COLUMN(),TRUE)</f>
        <v>1.047786006</v>
      </c>
      <c r="K84" s="48">
        <f>IF(MONTH($A84)=12,2.333,1)*VLOOKUP($A84,'Página22'!$A$1:$S$27,COLUMN(),TRUE)</f>
        <v>1</v>
      </c>
      <c r="L84" s="48">
        <f>VLOOKUP($A84,'Página22'!$A$1:$S$27,COLUMN(),TRUE)</f>
        <v>0.9975896677</v>
      </c>
      <c r="M84" s="48">
        <f>VLOOKUP($A84,'Página22'!$A$1:$S$27,COLUMN(),TRUE)</f>
        <v>0.4321064156</v>
      </c>
      <c r="N84" s="48">
        <f>VLOOKUP($A84,'Página22'!$A$1:$S$27,COLUMN(),TRUE)</f>
        <v>0.9975867447</v>
      </c>
      <c r="O84" s="48">
        <f>VLOOKUP($A84,'Página22'!$A$1:$S$27,COLUMN(),TRUE)</f>
        <v>0.1096103826</v>
      </c>
      <c r="P84" s="48">
        <f>VLOOKUP($A84,'Página22'!$A$1:$S$27,COLUMN(),TRUE)</f>
        <v>0.9978118043</v>
      </c>
      <c r="Q84" s="48">
        <f>VLOOKUP($A84,'Página22'!$A$1:$S$27,COLUMN(),TRUE)</f>
        <v>0.4843521842</v>
      </c>
      <c r="R84" s="48">
        <f>VLOOKUP($A84,'Página22'!$A$1:$S$27,COLUMN(),TRUE)</f>
        <v>0.9978089375</v>
      </c>
      <c r="S84" s="48">
        <f>VLOOKUP($A84,'Página22'!$A$1:$S$27,COLUMN(),TRUE)</f>
        <v>0.1228633186</v>
      </c>
      <c r="T84" s="73">
        <f t="shared" si="5"/>
        <v>2022</v>
      </c>
      <c r="U84" s="73">
        <f t="shared" si="6"/>
        <v>11</v>
      </c>
    </row>
    <row r="85">
      <c r="A85" s="34">
        <v>44896.0</v>
      </c>
      <c r="B85" s="48">
        <f t="shared" si="7"/>
        <v>3.310278601</v>
      </c>
      <c r="C85" s="48">
        <f>IF(MONTH($A85)=12,2.333,1)*VLOOKUP($A85,'Página22'!$A$1:$S$27,COLUMN(),TRUE)</f>
        <v>2.455789474</v>
      </c>
      <c r="D85" s="48">
        <f t="shared" si="2"/>
        <v>2.557518853</v>
      </c>
      <c r="E85" s="48">
        <f>IF(MONTH($A85)=12,2.333,1)*VLOOKUP($A85,'Página22'!$A$1:$S$27,COLUMN(),TRUE)</f>
        <v>2.455789474</v>
      </c>
      <c r="F85" s="48">
        <f>IF(MONTH($A85)=12,2.333,1)*VLOOKUP($A85,'Página22'!$A$1:$S$27,COLUMN(),TRUE)</f>
        <v>2.333</v>
      </c>
      <c r="G85" s="48">
        <f t="shared" si="8"/>
        <v>3.42963902</v>
      </c>
      <c r="H85" s="48">
        <f>IF(MONTH($A85)=12,2.333,1)*VLOOKUP($A85,'Página22'!$A$1:$S$27,COLUMN(),TRUE)</f>
        <v>2.444484753</v>
      </c>
      <c r="I85" s="48">
        <f t="shared" si="4"/>
        <v>2.585864426</v>
      </c>
      <c r="J85" s="48">
        <f>IF(MONTH($A85)=12,2.333,1)*VLOOKUP($A85,'Página22'!$A$1:$S$27,COLUMN(),TRUE)</f>
        <v>2.444484753</v>
      </c>
      <c r="K85" s="48">
        <f>IF(MONTH($A85)=12,2.333,1)*VLOOKUP($A85,'Página22'!$A$1:$S$27,COLUMN(),TRUE)</f>
        <v>2.333</v>
      </c>
      <c r="L85" s="48">
        <f>VLOOKUP($A85,'Página22'!$A$1:$S$27,COLUMN(),TRUE)</f>
        <v>0.9975896677</v>
      </c>
      <c r="M85" s="48">
        <f>VLOOKUP($A85,'Página22'!$A$1:$S$27,COLUMN(),TRUE)</f>
        <v>0.4321064156</v>
      </c>
      <c r="N85" s="48">
        <f>VLOOKUP($A85,'Página22'!$A$1:$S$27,COLUMN(),TRUE)</f>
        <v>0.9975867447</v>
      </c>
      <c r="O85" s="48">
        <f>VLOOKUP($A85,'Página22'!$A$1:$S$27,COLUMN(),TRUE)</f>
        <v>0.1096103826</v>
      </c>
      <c r="P85" s="48">
        <f>VLOOKUP($A85,'Página22'!$A$1:$S$27,COLUMN(),TRUE)</f>
        <v>0.9978118043</v>
      </c>
      <c r="Q85" s="48">
        <f>VLOOKUP($A85,'Página22'!$A$1:$S$27,COLUMN(),TRUE)</f>
        <v>0.4843521842</v>
      </c>
      <c r="R85" s="48">
        <f>VLOOKUP($A85,'Página22'!$A$1:$S$27,COLUMN(),TRUE)</f>
        <v>0.9978089375</v>
      </c>
      <c r="S85" s="48">
        <f>VLOOKUP($A85,'Página22'!$A$1:$S$27,COLUMN(),TRUE)</f>
        <v>0.1228633186</v>
      </c>
      <c r="T85" s="73">
        <f t="shared" si="5"/>
        <v>2022</v>
      </c>
      <c r="U85" s="73">
        <f t="shared" si="6"/>
        <v>12</v>
      </c>
    </row>
    <row r="86">
      <c r="A86" s="34">
        <v>44927.0</v>
      </c>
      <c r="B86" s="48">
        <f t="shared" si="7"/>
        <v>1.424616069</v>
      </c>
      <c r="C86" s="48">
        <f>IF(MONTH($A86)=12,2.333,1)*VLOOKUP($A86,'Página22'!$A$1:$S$27,COLUMN(),TRUE)</f>
        <v>1.052631579</v>
      </c>
      <c r="D86" s="48">
        <f t="shared" si="2"/>
        <v>1.096236114</v>
      </c>
      <c r="E86" s="48">
        <f>IF(MONTH($A86)=12,2.333,1)*VLOOKUP($A86,'Página22'!$A$1:$S$27,COLUMN(),TRUE)</f>
        <v>1.052631579</v>
      </c>
      <c r="F86" s="48">
        <f>IF(MONTH($A86)=12,2.333,1)*VLOOKUP($A86,'Página22'!$A$1:$S$27,COLUMN(),TRUE)</f>
        <v>1</v>
      </c>
      <c r="G86" s="48">
        <f t="shared" si="8"/>
        <v>1.475254045</v>
      </c>
      <c r="H86" s="48">
        <f>IF(MONTH($A86)=12,2.333,1)*VLOOKUP($A86,'Página22'!$A$1:$S$27,COLUMN(),TRUE)</f>
        <v>1.047664081</v>
      </c>
      <c r="I86" s="48">
        <f t="shared" si="4"/>
        <v>1.108109406</v>
      </c>
      <c r="J86" s="48">
        <f>IF(MONTH($A86)=12,2.333,1)*VLOOKUP($A86,'Página22'!$A$1:$S$27,COLUMN(),TRUE)</f>
        <v>1.047664081</v>
      </c>
      <c r="K86" s="48">
        <f>IF(MONTH($A86)=12,2.333,1)*VLOOKUP($A86,'Página22'!$A$1:$S$27,COLUMN(),TRUE)</f>
        <v>1</v>
      </c>
      <c r="L86" s="48">
        <f>VLOOKUP($A86,'Página22'!$A$1:$S$27,COLUMN(),TRUE)</f>
        <v>0.9975896677</v>
      </c>
      <c r="M86" s="48">
        <f>VLOOKUP($A86,'Página22'!$A$1:$S$27,COLUMN(),TRUE)</f>
        <v>0.4379756862</v>
      </c>
      <c r="N86" s="48">
        <f>VLOOKUP($A86,'Página22'!$A$1:$S$27,COLUMN(),TRUE)</f>
        <v>0.9975867447</v>
      </c>
      <c r="O86" s="48">
        <f>VLOOKUP($A86,'Página22'!$A$1:$S$27,COLUMN(),TRUE)</f>
        <v>0.1096103826</v>
      </c>
      <c r="P86" s="48">
        <f>VLOOKUP($A86,'Página22'!$A$1:$S$27,COLUMN(),TRUE)</f>
        <v>0.9978173874</v>
      </c>
      <c r="Q86" s="48">
        <f>VLOOKUP($A86,'Página22'!$A$1:$S$27,COLUMN(),TRUE)</f>
        <v>0.4896785008</v>
      </c>
      <c r="R86" s="48">
        <f>VLOOKUP($A86,'Página22'!$A$1:$S$27,COLUMN(),TRUE)</f>
        <v>0.997814528</v>
      </c>
      <c r="S86" s="48">
        <f>VLOOKUP($A86,'Página22'!$A$1:$S$27,COLUMN(),TRUE)</f>
        <v>0.1225498344</v>
      </c>
      <c r="T86" s="73">
        <f t="shared" si="5"/>
        <v>2023</v>
      </c>
      <c r="U86" s="73">
        <f t="shared" si="6"/>
        <v>1</v>
      </c>
    </row>
    <row r="87">
      <c r="A87" s="34">
        <v>44958.0</v>
      </c>
      <c r="B87" s="48">
        <f t="shared" si="7"/>
        <v>1.424700496</v>
      </c>
      <c r="C87" s="48">
        <f>IF(MONTH($A87)=12,2.333,1)*VLOOKUP($A87,'Página22'!$A$1:$S$27,COLUMN(),TRUE)</f>
        <v>1.052631579</v>
      </c>
      <c r="D87" s="48">
        <f t="shared" si="2"/>
        <v>1.096236114</v>
      </c>
      <c r="E87" s="48">
        <f>IF(MONTH($A87)=12,2.333,1)*VLOOKUP($A87,'Página22'!$A$1:$S$27,COLUMN(),TRUE)</f>
        <v>1.052631579</v>
      </c>
      <c r="F87" s="48">
        <f>IF(MONTH($A87)=12,2.333,1)*VLOOKUP($A87,'Página22'!$A$1:$S$27,COLUMN(),TRUE)</f>
        <v>1</v>
      </c>
      <c r="G87" s="48">
        <f t="shared" si="8"/>
        <v>1.475348439</v>
      </c>
      <c r="H87" s="48">
        <f>IF(MONTH($A87)=12,2.333,1)*VLOOKUP($A87,'Página22'!$A$1:$S$27,COLUMN(),TRUE)</f>
        <v>1.047664081</v>
      </c>
      <c r="I87" s="48">
        <f t="shared" si="4"/>
        <v>1.108109406</v>
      </c>
      <c r="J87" s="48">
        <f>IF(MONTH($A87)=12,2.333,1)*VLOOKUP($A87,'Página22'!$A$1:$S$27,COLUMN(),TRUE)</f>
        <v>1.047664081</v>
      </c>
      <c r="K87" s="48">
        <f>IF(MONTH($A87)=12,2.333,1)*VLOOKUP($A87,'Página22'!$A$1:$S$27,COLUMN(),TRUE)</f>
        <v>1</v>
      </c>
      <c r="L87" s="48">
        <f>VLOOKUP($A87,'Página22'!$A$1:$S$27,COLUMN(),TRUE)</f>
        <v>0.9975896677</v>
      </c>
      <c r="M87" s="48">
        <f>VLOOKUP($A87,'Página22'!$A$1:$S$27,COLUMN(),TRUE)</f>
        <v>0.4380622784</v>
      </c>
      <c r="N87" s="48">
        <f>VLOOKUP($A87,'Página22'!$A$1:$S$27,COLUMN(),TRUE)</f>
        <v>0.9975867447</v>
      </c>
      <c r="O87" s="48">
        <f>VLOOKUP($A87,'Página22'!$A$1:$S$27,COLUMN(),TRUE)</f>
        <v>0.1096103826</v>
      </c>
      <c r="P87" s="48">
        <f>VLOOKUP($A87,'Página22'!$A$1:$S$27,COLUMN(),TRUE)</f>
        <v>0.9978173874</v>
      </c>
      <c r="Q87" s="48">
        <f>VLOOKUP($A87,'Página22'!$A$1:$S$27,COLUMN(),TRUE)</f>
        <v>0.4897753152</v>
      </c>
      <c r="R87" s="48">
        <f>VLOOKUP($A87,'Página22'!$A$1:$S$27,COLUMN(),TRUE)</f>
        <v>0.997814528</v>
      </c>
      <c r="S87" s="48">
        <f>VLOOKUP($A87,'Página22'!$A$1:$S$27,COLUMN(),TRUE)</f>
        <v>0.1225498344</v>
      </c>
      <c r="T87" s="73">
        <f t="shared" si="5"/>
        <v>2023</v>
      </c>
      <c r="U87" s="73">
        <f t="shared" si="6"/>
        <v>2</v>
      </c>
    </row>
    <row r="88">
      <c r="A88" s="34">
        <v>44986.0</v>
      </c>
      <c r="B88" s="48">
        <f t="shared" si="7"/>
        <v>1.424700496</v>
      </c>
      <c r="C88" s="48">
        <f>IF(MONTH($A88)=12,2.333,1)*VLOOKUP($A88,'Página22'!$A$1:$S$27,COLUMN(),TRUE)</f>
        <v>1.052631579</v>
      </c>
      <c r="D88" s="48">
        <f t="shared" si="2"/>
        <v>1.096236114</v>
      </c>
      <c r="E88" s="48">
        <f>IF(MONTH($A88)=12,2.333,1)*VLOOKUP($A88,'Página22'!$A$1:$S$27,COLUMN(),TRUE)</f>
        <v>1.052631579</v>
      </c>
      <c r="F88" s="48">
        <f>IF(MONTH($A88)=12,2.333,1)*VLOOKUP($A88,'Página22'!$A$1:$S$27,COLUMN(),TRUE)</f>
        <v>1</v>
      </c>
      <c r="G88" s="48">
        <f t="shared" si="8"/>
        <v>1.475348439</v>
      </c>
      <c r="H88" s="48">
        <f>IF(MONTH($A88)=12,2.333,1)*VLOOKUP($A88,'Página22'!$A$1:$S$27,COLUMN(),TRUE)</f>
        <v>1.047664081</v>
      </c>
      <c r="I88" s="48">
        <f t="shared" si="4"/>
        <v>1.108109406</v>
      </c>
      <c r="J88" s="48">
        <f>IF(MONTH($A88)=12,2.333,1)*VLOOKUP($A88,'Página22'!$A$1:$S$27,COLUMN(),TRUE)</f>
        <v>1.047664081</v>
      </c>
      <c r="K88" s="48">
        <f>IF(MONTH($A88)=12,2.333,1)*VLOOKUP($A88,'Página22'!$A$1:$S$27,COLUMN(),TRUE)</f>
        <v>1</v>
      </c>
      <c r="L88" s="48">
        <f>VLOOKUP($A88,'Página22'!$A$1:$S$27,COLUMN(),TRUE)</f>
        <v>0.9975896677</v>
      </c>
      <c r="M88" s="48">
        <f>VLOOKUP($A88,'Página22'!$A$1:$S$27,COLUMN(),TRUE)</f>
        <v>0.4380622784</v>
      </c>
      <c r="N88" s="48">
        <f>VLOOKUP($A88,'Página22'!$A$1:$S$27,COLUMN(),TRUE)</f>
        <v>0.9975867447</v>
      </c>
      <c r="O88" s="48">
        <f>VLOOKUP($A88,'Página22'!$A$1:$S$27,COLUMN(),TRUE)</f>
        <v>0.1096103826</v>
      </c>
      <c r="P88" s="48">
        <f>VLOOKUP($A88,'Página22'!$A$1:$S$27,COLUMN(),TRUE)</f>
        <v>0.9978173874</v>
      </c>
      <c r="Q88" s="48">
        <f>VLOOKUP($A88,'Página22'!$A$1:$S$27,COLUMN(),TRUE)</f>
        <v>0.4897753152</v>
      </c>
      <c r="R88" s="48">
        <f>VLOOKUP($A88,'Página22'!$A$1:$S$27,COLUMN(),TRUE)</f>
        <v>0.997814528</v>
      </c>
      <c r="S88" s="48">
        <f>VLOOKUP($A88,'Página22'!$A$1:$S$27,COLUMN(),TRUE)</f>
        <v>0.1225498344</v>
      </c>
      <c r="T88" s="73">
        <f t="shared" si="5"/>
        <v>2023</v>
      </c>
      <c r="U88" s="73">
        <f t="shared" si="6"/>
        <v>3</v>
      </c>
    </row>
    <row r="89">
      <c r="A89" s="34">
        <v>45017.0</v>
      </c>
      <c r="B89" s="48">
        <f t="shared" si="7"/>
        <v>1.499837692</v>
      </c>
      <c r="C89" s="48">
        <f>IF(MONTH($A89)=12,2.333,1)*VLOOKUP($A89,'Página22'!$A$1:$S$27,COLUMN(),TRUE)</f>
        <v>1.052631579</v>
      </c>
      <c r="D89" s="48">
        <f t="shared" si="2"/>
        <v>1.096236114</v>
      </c>
      <c r="E89" s="48">
        <f>IF(MONTH($A89)=12,2.333,1)*VLOOKUP($A89,'Página22'!$A$1:$S$27,COLUMN(),TRUE)</f>
        <v>1.052631579</v>
      </c>
      <c r="F89" s="48">
        <f>IF(MONTH($A89)=12,2.333,1)*VLOOKUP($A89,'Página22'!$A$1:$S$27,COLUMN(),TRUE)</f>
        <v>1</v>
      </c>
      <c r="G89" s="48">
        <f t="shared" si="8"/>
        <v>1.559355544</v>
      </c>
      <c r="H89" s="48">
        <f>IF(MONTH($A89)=12,2.333,1)*VLOOKUP($A89,'Página22'!$A$1:$S$27,COLUMN(),TRUE)</f>
        <v>1.047664081</v>
      </c>
      <c r="I89" s="48">
        <f t="shared" si="4"/>
        <v>1.108109406</v>
      </c>
      <c r="J89" s="48">
        <f>IF(MONTH($A89)=12,2.333,1)*VLOOKUP($A89,'Página22'!$A$1:$S$27,COLUMN(),TRUE)</f>
        <v>1.047664081</v>
      </c>
      <c r="K89" s="48">
        <f>IF(MONTH($A89)=12,2.333,1)*VLOOKUP($A89,'Página22'!$A$1:$S$27,COLUMN(),TRUE)</f>
        <v>1</v>
      </c>
      <c r="L89" s="48">
        <f>VLOOKUP($A89,'Página22'!$A$1:$S$27,COLUMN(),TRUE)</f>
        <v>0.9975896677</v>
      </c>
      <c r="M89" s="48">
        <f>VLOOKUP($A89,'Página22'!$A$1:$S$27,COLUMN(),TRUE)</f>
        <v>0.5151260501</v>
      </c>
      <c r="N89" s="48">
        <f>VLOOKUP($A89,'Página22'!$A$1:$S$27,COLUMN(),TRUE)</f>
        <v>0.9975867447</v>
      </c>
      <c r="O89" s="48">
        <f>VLOOKUP($A89,'Página22'!$A$1:$S$27,COLUMN(),TRUE)</f>
        <v>0.1096103826</v>
      </c>
      <c r="P89" s="48">
        <f>VLOOKUP($A89,'Página22'!$A$1:$S$27,COLUMN(),TRUE)</f>
        <v>0.9978173874</v>
      </c>
      <c r="Q89" s="48">
        <f>VLOOKUP($A89,'Página22'!$A$1:$S$27,COLUMN(),TRUE)</f>
        <v>0.5759364272</v>
      </c>
      <c r="R89" s="48">
        <f>VLOOKUP($A89,'Página22'!$A$1:$S$27,COLUMN(),TRUE)</f>
        <v>0.997814528</v>
      </c>
      <c r="S89" s="48">
        <f>VLOOKUP($A89,'Página22'!$A$1:$S$27,COLUMN(),TRUE)</f>
        <v>0.1225498344</v>
      </c>
      <c r="T89" s="73">
        <f t="shared" si="5"/>
        <v>2023</v>
      </c>
      <c r="U89" s="73">
        <f t="shared" si="6"/>
        <v>4</v>
      </c>
    </row>
    <row r="90">
      <c r="A90" s="34">
        <v>45047.0</v>
      </c>
      <c r="B90" s="48">
        <f t="shared" si="7"/>
        <v>1.386175001</v>
      </c>
      <c r="C90" s="48">
        <f>IF(MONTH($A90)=12,2.333,1)*VLOOKUP($A90,'Página22'!$A$1:$S$27,COLUMN(),TRUE)</f>
        <v>1.052631579</v>
      </c>
      <c r="D90" s="48">
        <f t="shared" si="2"/>
        <v>1.088090905</v>
      </c>
      <c r="E90" s="48">
        <f>IF(MONTH($A90)=12,2.333,1)*VLOOKUP($A90,'Página22'!$A$1:$S$27,COLUMN(),TRUE)</f>
        <v>1.052631579</v>
      </c>
      <c r="F90" s="48">
        <f>IF(MONTH($A90)=12,2.333,1)*VLOOKUP($A90,'Página22'!$A$1:$S$27,COLUMN(),TRUE)</f>
        <v>1</v>
      </c>
      <c r="G90" s="48">
        <f t="shared" si="8"/>
        <v>1.435311556</v>
      </c>
      <c r="H90" s="48">
        <f>IF(MONTH($A90)=12,2.333,1)*VLOOKUP($A90,'Página22'!$A$1:$S$27,COLUMN(),TRUE)</f>
        <v>1.047999047</v>
      </c>
      <c r="I90" s="48">
        <f t="shared" si="4"/>
        <v>1.099698199</v>
      </c>
      <c r="J90" s="48">
        <f>IF(MONTH($A90)=12,2.333,1)*VLOOKUP($A90,'Página22'!$A$1:$S$27,COLUMN(),TRUE)</f>
        <v>1.047999047</v>
      </c>
      <c r="K90" s="48">
        <f>IF(MONTH($A90)=12,2.333,1)*VLOOKUP($A90,'Página22'!$A$1:$S$27,COLUMN(),TRUE)</f>
        <v>1</v>
      </c>
      <c r="L90" s="48">
        <f>VLOOKUP($A90,'Página22'!$A$1:$S$27,COLUMN(),TRUE)</f>
        <v>0.9975895772</v>
      </c>
      <c r="M90" s="48">
        <f>VLOOKUP($A90,'Página22'!$A$1:$S$27,COLUMN(),TRUE)</f>
        <v>0.3985490535</v>
      </c>
      <c r="N90" s="48">
        <f>VLOOKUP($A90,'Página22'!$A$1:$S$27,COLUMN(),TRUE)</f>
        <v>0.9975868956</v>
      </c>
      <c r="O90" s="48">
        <f>VLOOKUP($A90,'Página22'!$A$1:$S$27,COLUMN(),TRUE)</f>
        <v>0.100559985</v>
      </c>
      <c r="P90" s="48">
        <f>VLOOKUP($A90,'Página22'!$A$1:$S$27,COLUMN(),TRUE)</f>
        <v>0.9978016275</v>
      </c>
      <c r="Q90" s="48">
        <f>VLOOKUP($A90,'Página22'!$A$1:$S$27,COLUMN(),TRUE)</f>
        <v>0.4487280191</v>
      </c>
      <c r="R90" s="48">
        <f>VLOOKUP($A90,'Página22'!$A$1:$S$27,COLUMN(),TRUE)</f>
        <v>0.9977993631</v>
      </c>
      <c r="S90" s="48">
        <f>VLOOKUP($A90,'Página22'!$A$1:$S$27,COLUMN(),TRUE)</f>
        <v>0.1132209009</v>
      </c>
      <c r="T90" s="73">
        <f t="shared" si="5"/>
        <v>2023</v>
      </c>
      <c r="U90" s="73">
        <f t="shared" si="6"/>
        <v>5</v>
      </c>
    </row>
    <row r="91">
      <c r="A91" s="34">
        <v>45078.0</v>
      </c>
      <c r="B91" s="48">
        <f t="shared" si="7"/>
        <v>1.386175001</v>
      </c>
      <c r="C91" s="48">
        <f>IF(MONTH($A91)=12,2.333,1)*VLOOKUP($A91,'Página22'!$A$1:$S$27,COLUMN(),TRUE)</f>
        <v>1.052631579</v>
      </c>
      <c r="D91" s="48">
        <f t="shared" si="2"/>
        <v>1.088090905</v>
      </c>
      <c r="E91" s="48">
        <f>IF(MONTH($A91)=12,2.333,1)*VLOOKUP($A91,'Página22'!$A$1:$S$27,COLUMN(),TRUE)</f>
        <v>1.052631579</v>
      </c>
      <c r="F91" s="48">
        <f>IF(MONTH($A91)=12,2.333,1)*VLOOKUP($A91,'Página22'!$A$1:$S$27,COLUMN(),TRUE)</f>
        <v>1</v>
      </c>
      <c r="G91" s="48">
        <f t="shared" si="8"/>
        <v>1.435311556</v>
      </c>
      <c r="H91" s="48">
        <f>IF(MONTH($A91)=12,2.333,1)*VLOOKUP($A91,'Página22'!$A$1:$S$27,COLUMN(),TRUE)</f>
        <v>1.047999047</v>
      </c>
      <c r="I91" s="48">
        <f t="shared" si="4"/>
        <v>1.099698199</v>
      </c>
      <c r="J91" s="48">
        <f>IF(MONTH($A91)=12,2.333,1)*VLOOKUP($A91,'Página22'!$A$1:$S$27,COLUMN(),TRUE)</f>
        <v>1.047999047</v>
      </c>
      <c r="K91" s="48">
        <f>IF(MONTH($A91)=12,2.333,1)*VLOOKUP($A91,'Página22'!$A$1:$S$27,COLUMN(),TRUE)</f>
        <v>1</v>
      </c>
      <c r="L91" s="48">
        <f>VLOOKUP($A91,'Página22'!$A$1:$S$27,COLUMN(),TRUE)</f>
        <v>0.9975895772</v>
      </c>
      <c r="M91" s="48">
        <f>VLOOKUP($A91,'Página22'!$A$1:$S$27,COLUMN(),TRUE)</f>
        <v>0.3985490535</v>
      </c>
      <c r="N91" s="48">
        <f>VLOOKUP($A91,'Página22'!$A$1:$S$27,COLUMN(),TRUE)</f>
        <v>0.9975868956</v>
      </c>
      <c r="O91" s="48">
        <f>VLOOKUP($A91,'Página22'!$A$1:$S$27,COLUMN(),TRUE)</f>
        <v>0.100559985</v>
      </c>
      <c r="P91" s="48">
        <f>VLOOKUP($A91,'Página22'!$A$1:$S$27,COLUMN(),TRUE)</f>
        <v>0.9978016275</v>
      </c>
      <c r="Q91" s="48">
        <f>VLOOKUP($A91,'Página22'!$A$1:$S$27,COLUMN(),TRUE)</f>
        <v>0.4487280191</v>
      </c>
      <c r="R91" s="48">
        <f>VLOOKUP($A91,'Página22'!$A$1:$S$27,COLUMN(),TRUE)</f>
        <v>0.9977993631</v>
      </c>
      <c r="S91" s="48">
        <f>VLOOKUP($A91,'Página22'!$A$1:$S$27,COLUMN(),TRUE)</f>
        <v>0.1132209009</v>
      </c>
      <c r="T91" s="73">
        <f t="shared" si="5"/>
        <v>2023</v>
      </c>
      <c r="U91" s="73">
        <f t="shared" si="6"/>
        <v>6</v>
      </c>
    </row>
    <row r="92">
      <c r="A92" s="34">
        <v>45108.0</v>
      </c>
      <c r="B92" s="48">
        <f t="shared" si="7"/>
        <v>1.386175001</v>
      </c>
      <c r="C92" s="48">
        <f>IF(MONTH($A92)=12,2.333,1)*VLOOKUP($A92,'Página22'!$A$1:$S$27,COLUMN(),TRUE)</f>
        <v>1.052631579</v>
      </c>
      <c r="D92" s="48">
        <f t="shared" si="2"/>
        <v>1.088090905</v>
      </c>
      <c r="E92" s="48">
        <f>IF(MONTH($A92)=12,2.333,1)*VLOOKUP($A92,'Página22'!$A$1:$S$27,COLUMN(),TRUE)</f>
        <v>1.052631579</v>
      </c>
      <c r="F92" s="48">
        <f>IF(MONTH($A92)=12,2.333,1)*VLOOKUP($A92,'Página22'!$A$1:$S$27,COLUMN(),TRUE)</f>
        <v>1</v>
      </c>
      <c r="G92" s="48">
        <f t="shared" si="8"/>
        <v>1.435311556</v>
      </c>
      <c r="H92" s="48">
        <f>IF(MONTH($A92)=12,2.333,1)*VLOOKUP($A92,'Página22'!$A$1:$S$27,COLUMN(),TRUE)</f>
        <v>1.047999047</v>
      </c>
      <c r="I92" s="48">
        <f t="shared" si="4"/>
        <v>1.099698199</v>
      </c>
      <c r="J92" s="48">
        <f>IF(MONTH($A92)=12,2.333,1)*VLOOKUP($A92,'Página22'!$A$1:$S$27,COLUMN(),TRUE)</f>
        <v>1.047999047</v>
      </c>
      <c r="K92" s="48">
        <f>IF(MONTH($A92)=12,2.333,1)*VLOOKUP($A92,'Página22'!$A$1:$S$27,COLUMN(),TRUE)</f>
        <v>1</v>
      </c>
      <c r="L92" s="48">
        <f>VLOOKUP($A92,'Página22'!$A$1:$S$27,COLUMN(),TRUE)</f>
        <v>0.9975895772</v>
      </c>
      <c r="M92" s="48">
        <f>VLOOKUP($A92,'Página22'!$A$1:$S$27,COLUMN(),TRUE)</f>
        <v>0.3985490535</v>
      </c>
      <c r="N92" s="48">
        <f>VLOOKUP($A92,'Página22'!$A$1:$S$27,COLUMN(),TRUE)</f>
        <v>0.9975868956</v>
      </c>
      <c r="O92" s="48">
        <f>VLOOKUP($A92,'Página22'!$A$1:$S$27,COLUMN(),TRUE)</f>
        <v>0.100559985</v>
      </c>
      <c r="P92" s="48">
        <f>VLOOKUP($A92,'Página22'!$A$1:$S$27,COLUMN(),TRUE)</f>
        <v>0.9978016275</v>
      </c>
      <c r="Q92" s="48">
        <f>VLOOKUP($A92,'Página22'!$A$1:$S$27,COLUMN(),TRUE)</f>
        <v>0.4487280191</v>
      </c>
      <c r="R92" s="48">
        <f>VLOOKUP($A92,'Página22'!$A$1:$S$27,COLUMN(),TRUE)</f>
        <v>0.9977993631</v>
      </c>
      <c r="S92" s="48">
        <f>VLOOKUP($A92,'Página22'!$A$1:$S$27,COLUMN(),TRUE)</f>
        <v>0.1132209009</v>
      </c>
      <c r="T92" s="73">
        <f t="shared" si="5"/>
        <v>2023</v>
      </c>
      <c r="U92" s="73">
        <f t="shared" si="6"/>
        <v>7</v>
      </c>
    </row>
    <row r="93">
      <c r="A93" s="34">
        <v>45139.0</v>
      </c>
      <c r="B93" s="48">
        <f t="shared" si="7"/>
        <v>1.386175001</v>
      </c>
      <c r="C93" s="48">
        <f>IF(MONTH($A93)=12,2.333,1)*VLOOKUP($A93,'Página22'!$A$1:$S$27,COLUMN(),TRUE)</f>
        <v>1.052631579</v>
      </c>
      <c r="D93" s="48">
        <f t="shared" si="2"/>
        <v>1.088090905</v>
      </c>
      <c r="E93" s="48">
        <f>IF(MONTH($A93)=12,2.333,1)*VLOOKUP($A93,'Página22'!$A$1:$S$27,COLUMN(),TRUE)</f>
        <v>1.052631579</v>
      </c>
      <c r="F93" s="48">
        <f>IF(MONTH($A93)=12,2.333,1)*VLOOKUP($A93,'Página22'!$A$1:$S$27,COLUMN(),TRUE)</f>
        <v>1</v>
      </c>
      <c r="G93" s="48">
        <f t="shared" si="8"/>
        <v>1.435311556</v>
      </c>
      <c r="H93" s="48">
        <f>IF(MONTH($A93)=12,2.333,1)*VLOOKUP($A93,'Página22'!$A$1:$S$27,COLUMN(),TRUE)</f>
        <v>1.047999047</v>
      </c>
      <c r="I93" s="48">
        <f t="shared" si="4"/>
        <v>1.099698199</v>
      </c>
      <c r="J93" s="48">
        <f>IF(MONTH($A93)=12,2.333,1)*VLOOKUP($A93,'Página22'!$A$1:$S$27,COLUMN(),TRUE)</f>
        <v>1.047999047</v>
      </c>
      <c r="K93" s="48">
        <f>IF(MONTH($A93)=12,2.333,1)*VLOOKUP($A93,'Página22'!$A$1:$S$27,COLUMN(),TRUE)</f>
        <v>1</v>
      </c>
      <c r="L93" s="48">
        <f>VLOOKUP($A93,'Página22'!$A$1:$S$27,COLUMN(),TRUE)</f>
        <v>0.9975895772</v>
      </c>
      <c r="M93" s="48">
        <f>VLOOKUP($A93,'Página22'!$A$1:$S$27,COLUMN(),TRUE)</f>
        <v>0.3985490535</v>
      </c>
      <c r="N93" s="48">
        <f>VLOOKUP($A93,'Página22'!$A$1:$S$27,COLUMN(),TRUE)</f>
        <v>0.9975868956</v>
      </c>
      <c r="O93" s="48">
        <f>VLOOKUP($A93,'Página22'!$A$1:$S$27,COLUMN(),TRUE)</f>
        <v>0.100559985</v>
      </c>
      <c r="P93" s="48">
        <f>VLOOKUP($A93,'Página22'!$A$1:$S$27,COLUMN(),TRUE)</f>
        <v>0.9978016275</v>
      </c>
      <c r="Q93" s="48">
        <f>VLOOKUP($A93,'Página22'!$A$1:$S$27,COLUMN(),TRUE)</f>
        <v>0.4487280191</v>
      </c>
      <c r="R93" s="48">
        <f>VLOOKUP($A93,'Página22'!$A$1:$S$27,COLUMN(),TRUE)</f>
        <v>0.9977993631</v>
      </c>
      <c r="S93" s="48">
        <f>VLOOKUP($A93,'Página22'!$A$1:$S$27,COLUMN(),TRUE)</f>
        <v>0.1132209009</v>
      </c>
      <c r="T93" s="73">
        <f t="shared" si="5"/>
        <v>2023</v>
      </c>
      <c r="U93" s="73">
        <f t="shared" si="6"/>
        <v>8</v>
      </c>
    </row>
    <row r="94">
      <c r="A94" s="34">
        <v>45170.0</v>
      </c>
      <c r="B94" s="48">
        <f t="shared" si="7"/>
        <v>1.386175001</v>
      </c>
      <c r="C94" s="48">
        <f>IF(MONTH($A94)=12,2.333,1)*VLOOKUP($A94,'Página22'!$A$1:$S$27,COLUMN(),TRUE)</f>
        <v>1.052631579</v>
      </c>
      <c r="D94" s="48">
        <f t="shared" si="2"/>
        <v>1.088090905</v>
      </c>
      <c r="E94" s="48">
        <f>IF(MONTH($A94)=12,2.333,1)*VLOOKUP($A94,'Página22'!$A$1:$S$27,COLUMN(),TRUE)</f>
        <v>1.052631579</v>
      </c>
      <c r="F94" s="48">
        <f>IF(MONTH($A94)=12,2.333,1)*VLOOKUP($A94,'Página22'!$A$1:$S$27,COLUMN(),TRUE)</f>
        <v>1</v>
      </c>
      <c r="G94" s="48">
        <f t="shared" si="8"/>
        <v>1.435311556</v>
      </c>
      <c r="H94" s="48">
        <f>IF(MONTH($A94)=12,2.333,1)*VLOOKUP($A94,'Página22'!$A$1:$S$27,COLUMN(),TRUE)</f>
        <v>1.047999047</v>
      </c>
      <c r="I94" s="48">
        <f t="shared" si="4"/>
        <v>1.099698199</v>
      </c>
      <c r="J94" s="48">
        <f>IF(MONTH($A94)=12,2.333,1)*VLOOKUP($A94,'Página22'!$A$1:$S$27,COLUMN(),TRUE)</f>
        <v>1.047999047</v>
      </c>
      <c r="K94" s="48">
        <f>IF(MONTH($A94)=12,2.333,1)*VLOOKUP($A94,'Página22'!$A$1:$S$27,COLUMN(),TRUE)</f>
        <v>1</v>
      </c>
      <c r="L94" s="48">
        <f>VLOOKUP($A94,'Página22'!$A$1:$S$27,COLUMN(),TRUE)</f>
        <v>0.9975895772</v>
      </c>
      <c r="M94" s="48">
        <f>VLOOKUP($A94,'Página22'!$A$1:$S$27,COLUMN(),TRUE)</f>
        <v>0.3985490535</v>
      </c>
      <c r="N94" s="48">
        <f>VLOOKUP($A94,'Página22'!$A$1:$S$27,COLUMN(),TRUE)</f>
        <v>0.9975868956</v>
      </c>
      <c r="O94" s="48">
        <f>VLOOKUP($A94,'Página22'!$A$1:$S$27,COLUMN(),TRUE)</f>
        <v>0.100559985</v>
      </c>
      <c r="P94" s="48">
        <f>VLOOKUP($A94,'Página22'!$A$1:$S$27,COLUMN(),TRUE)</f>
        <v>0.9978016275</v>
      </c>
      <c r="Q94" s="48">
        <f>VLOOKUP($A94,'Página22'!$A$1:$S$27,COLUMN(),TRUE)</f>
        <v>0.4487280191</v>
      </c>
      <c r="R94" s="48">
        <f>VLOOKUP($A94,'Página22'!$A$1:$S$27,COLUMN(),TRUE)</f>
        <v>0.9977993631</v>
      </c>
      <c r="S94" s="48">
        <f>VLOOKUP($A94,'Página22'!$A$1:$S$27,COLUMN(),TRUE)</f>
        <v>0.1132209009</v>
      </c>
      <c r="T94" s="73">
        <f t="shared" si="5"/>
        <v>2023</v>
      </c>
      <c r="U94" s="73">
        <f t="shared" si="6"/>
        <v>9</v>
      </c>
    </row>
    <row r="95">
      <c r="A95" s="34">
        <v>45200.0</v>
      </c>
      <c r="B95" s="48">
        <f t="shared" si="7"/>
        <v>1.386175001</v>
      </c>
      <c r="C95" s="48">
        <f>IF(MONTH($A95)=12,2.333,1)*VLOOKUP($A95,'Página22'!$A$1:$S$27,COLUMN(),TRUE)</f>
        <v>1.052631579</v>
      </c>
      <c r="D95" s="48">
        <f t="shared" si="2"/>
        <v>1.088090905</v>
      </c>
      <c r="E95" s="48">
        <f>IF(MONTH($A95)=12,2.333,1)*VLOOKUP($A95,'Página22'!$A$1:$S$27,COLUMN(),TRUE)</f>
        <v>1.052631579</v>
      </c>
      <c r="F95" s="48">
        <f>IF(MONTH($A95)=12,2.333,1)*VLOOKUP($A95,'Página22'!$A$1:$S$27,COLUMN(),TRUE)</f>
        <v>1</v>
      </c>
      <c r="G95" s="48">
        <f t="shared" si="8"/>
        <v>1.435311556</v>
      </c>
      <c r="H95" s="48">
        <f>IF(MONTH($A95)=12,2.333,1)*VLOOKUP($A95,'Página22'!$A$1:$S$27,COLUMN(),TRUE)</f>
        <v>1.047999047</v>
      </c>
      <c r="I95" s="48">
        <f t="shared" si="4"/>
        <v>1.099698199</v>
      </c>
      <c r="J95" s="48">
        <f>IF(MONTH($A95)=12,2.333,1)*VLOOKUP($A95,'Página22'!$A$1:$S$27,COLUMN(),TRUE)</f>
        <v>1.047999047</v>
      </c>
      <c r="K95" s="48">
        <f>IF(MONTH($A95)=12,2.333,1)*VLOOKUP($A95,'Página22'!$A$1:$S$27,COLUMN(),TRUE)</f>
        <v>1</v>
      </c>
      <c r="L95" s="48">
        <f>VLOOKUP($A95,'Página22'!$A$1:$S$27,COLUMN(),TRUE)</f>
        <v>0.9975895772</v>
      </c>
      <c r="M95" s="48">
        <f>VLOOKUP($A95,'Página22'!$A$1:$S$27,COLUMN(),TRUE)</f>
        <v>0.3985490535</v>
      </c>
      <c r="N95" s="48">
        <f>VLOOKUP($A95,'Página22'!$A$1:$S$27,COLUMN(),TRUE)</f>
        <v>0.9975868956</v>
      </c>
      <c r="O95" s="48">
        <f>VLOOKUP($A95,'Página22'!$A$1:$S$27,COLUMN(),TRUE)</f>
        <v>0.100559985</v>
      </c>
      <c r="P95" s="48">
        <f>VLOOKUP($A95,'Página22'!$A$1:$S$27,COLUMN(),TRUE)</f>
        <v>0.9978016275</v>
      </c>
      <c r="Q95" s="48">
        <f>VLOOKUP($A95,'Página22'!$A$1:$S$27,COLUMN(),TRUE)</f>
        <v>0.4487280191</v>
      </c>
      <c r="R95" s="48">
        <f>VLOOKUP($A95,'Página22'!$A$1:$S$27,COLUMN(),TRUE)</f>
        <v>0.9977993631</v>
      </c>
      <c r="S95" s="48">
        <f>VLOOKUP($A95,'Página22'!$A$1:$S$27,COLUMN(),TRUE)</f>
        <v>0.1132209009</v>
      </c>
      <c r="T95" s="73">
        <f t="shared" si="5"/>
        <v>2023</v>
      </c>
      <c r="U95" s="73">
        <f t="shared" si="6"/>
        <v>10</v>
      </c>
    </row>
    <row r="96">
      <c r="A96" s="34">
        <v>45231.0</v>
      </c>
      <c r="B96" s="48">
        <f t="shared" si="7"/>
        <v>1.386175001</v>
      </c>
      <c r="C96" s="48">
        <f>IF(MONTH($A96)=12,2.333,1)*VLOOKUP($A96,'Página22'!$A$1:$S$27,COLUMN(),TRUE)</f>
        <v>1.052631579</v>
      </c>
      <c r="D96" s="48">
        <f t="shared" si="2"/>
        <v>1.088090905</v>
      </c>
      <c r="E96" s="48">
        <f>IF(MONTH($A96)=12,2.333,1)*VLOOKUP($A96,'Página22'!$A$1:$S$27,COLUMN(),TRUE)</f>
        <v>1.052631579</v>
      </c>
      <c r="F96" s="48">
        <f>IF(MONTH($A96)=12,2.333,1)*VLOOKUP($A96,'Página22'!$A$1:$S$27,COLUMN(),TRUE)</f>
        <v>1</v>
      </c>
      <c r="G96" s="48">
        <f t="shared" si="8"/>
        <v>1.435311556</v>
      </c>
      <c r="H96" s="48">
        <f>IF(MONTH($A96)=12,2.333,1)*VLOOKUP($A96,'Página22'!$A$1:$S$27,COLUMN(),TRUE)</f>
        <v>1.047999047</v>
      </c>
      <c r="I96" s="48">
        <f t="shared" si="4"/>
        <v>1.099698199</v>
      </c>
      <c r="J96" s="48">
        <f>IF(MONTH($A96)=12,2.333,1)*VLOOKUP($A96,'Página22'!$A$1:$S$27,COLUMN(),TRUE)</f>
        <v>1.047999047</v>
      </c>
      <c r="K96" s="48">
        <f>IF(MONTH($A96)=12,2.333,1)*VLOOKUP($A96,'Página22'!$A$1:$S$27,COLUMN(),TRUE)</f>
        <v>1</v>
      </c>
      <c r="L96" s="48">
        <f>VLOOKUP($A96,'Página22'!$A$1:$S$27,COLUMN(),TRUE)</f>
        <v>0.9975895772</v>
      </c>
      <c r="M96" s="48">
        <f>VLOOKUP($A96,'Página22'!$A$1:$S$27,COLUMN(),TRUE)</f>
        <v>0.3985490535</v>
      </c>
      <c r="N96" s="48">
        <f>VLOOKUP($A96,'Página22'!$A$1:$S$27,COLUMN(),TRUE)</f>
        <v>0.9975868956</v>
      </c>
      <c r="O96" s="48">
        <f>VLOOKUP($A96,'Página22'!$A$1:$S$27,COLUMN(),TRUE)</f>
        <v>0.100559985</v>
      </c>
      <c r="P96" s="48">
        <f>VLOOKUP($A96,'Página22'!$A$1:$S$27,COLUMN(),TRUE)</f>
        <v>0.9978016275</v>
      </c>
      <c r="Q96" s="48">
        <f>VLOOKUP($A96,'Página22'!$A$1:$S$27,COLUMN(),TRUE)</f>
        <v>0.4487280191</v>
      </c>
      <c r="R96" s="48">
        <f>VLOOKUP($A96,'Página22'!$A$1:$S$27,COLUMN(),TRUE)</f>
        <v>0.9977993631</v>
      </c>
      <c r="S96" s="48">
        <f>VLOOKUP($A96,'Página22'!$A$1:$S$27,COLUMN(),TRUE)</f>
        <v>0.1132209009</v>
      </c>
      <c r="T96" s="73">
        <f t="shared" si="5"/>
        <v>2023</v>
      </c>
      <c r="U96" s="73">
        <f t="shared" si="6"/>
        <v>11</v>
      </c>
    </row>
    <row r="97">
      <c r="A97" s="34">
        <v>45261.0</v>
      </c>
      <c r="B97" s="48">
        <f t="shared" si="7"/>
        <v>3.233946278</v>
      </c>
      <c r="C97" s="48">
        <f>IF(MONTH($A97)=12,2.333,1)*VLOOKUP($A97,'Página22'!$A$1:$S$27,COLUMN(),TRUE)</f>
        <v>2.455789474</v>
      </c>
      <c r="D97" s="48">
        <f t="shared" si="2"/>
        <v>2.538516081</v>
      </c>
      <c r="E97" s="48">
        <f>IF(MONTH($A97)=12,2.333,1)*VLOOKUP($A97,'Página22'!$A$1:$S$27,COLUMN(),TRUE)</f>
        <v>2.455789474</v>
      </c>
      <c r="F97" s="48">
        <f>IF(MONTH($A97)=12,2.333,1)*VLOOKUP($A97,'Página22'!$A$1:$S$27,COLUMN(),TRUE)</f>
        <v>2.333</v>
      </c>
      <c r="G97" s="48">
        <f t="shared" si="8"/>
        <v>3.348581859</v>
      </c>
      <c r="H97" s="48">
        <f>IF(MONTH($A97)=12,2.333,1)*VLOOKUP($A97,'Página22'!$A$1:$S$27,COLUMN(),TRUE)</f>
        <v>2.444981778</v>
      </c>
      <c r="I97" s="48">
        <f t="shared" si="4"/>
        <v>2.565595899</v>
      </c>
      <c r="J97" s="48">
        <f>IF(MONTH($A97)=12,2.333,1)*VLOOKUP($A97,'Página22'!$A$1:$S$27,COLUMN(),TRUE)</f>
        <v>2.444981778</v>
      </c>
      <c r="K97" s="48">
        <f>IF(MONTH($A97)=12,2.333,1)*VLOOKUP($A97,'Página22'!$A$1:$S$27,COLUMN(),TRUE)</f>
        <v>2.333</v>
      </c>
      <c r="L97" s="48">
        <f>VLOOKUP($A97,'Página22'!$A$1:$S$27,COLUMN(),TRUE)</f>
        <v>0.9975895772</v>
      </c>
      <c r="M97" s="48">
        <f>VLOOKUP($A97,'Página22'!$A$1:$S$27,COLUMN(),TRUE)</f>
        <v>0.3985490535</v>
      </c>
      <c r="N97" s="48">
        <f>VLOOKUP($A97,'Página22'!$A$1:$S$27,COLUMN(),TRUE)</f>
        <v>0.9975868956</v>
      </c>
      <c r="O97" s="48">
        <f>VLOOKUP($A97,'Página22'!$A$1:$S$27,COLUMN(),TRUE)</f>
        <v>0.100559985</v>
      </c>
      <c r="P97" s="48">
        <f>VLOOKUP($A97,'Página22'!$A$1:$S$27,COLUMN(),TRUE)</f>
        <v>0.9978016275</v>
      </c>
      <c r="Q97" s="48">
        <f>VLOOKUP($A97,'Página22'!$A$1:$S$27,COLUMN(),TRUE)</f>
        <v>0.4487280191</v>
      </c>
      <c r="R97" s="48">
        <f>VLOOKUP($A97,'Página22'!$A$1:$S$27,COLUMN(),TRUE)</f>
        <v>0.9977993631</v>
      </c>
      <c r="S97" s="48">
        <f>VLOOKUP($A97,'Página22'!$A$1:$S$27,COLUMN(),TRUE)</f>
        <v>0.1132209009</v>
      </c>
      <c r="T97" s="73">
        <f t="shared" si="5"/>
        <v>2023</v>
      </c>
      <c r="U97" s="73">
        <f t="shared" si="6"/>
        <v>12</v>
      </c>
    </row>
    <row r="98">
      <c r="A98" s="34">
        <v>45292.0</v>
      </c>
      <c r="B98" s="48">
        <f t="shared" si="7"/>
        <v>1.386175001</v>
      </c>
      <c r="C98" s="48">
        <f>IF(MONTH($A98)=12,2.333,1)*VLOOKUP($A98,'Página22'!$A$1:$S$27,COLUMN(),TRUE)</f>
        <v>1.052631579</v>
      </c>
      <c r="D98" s="48">
        <f t="shared" si="2"/>
        <v>1.088090905</v>
      </c>
      <c r="E98" s="48">
        <f>IF(MONTH($A98)=12,2.333,1)*VLOOKUP($A98,'Página22'!$A$1:$S$27,COLUMN(),TRUE)</f>
        <v>1.052631579</v>
      </c>
      <c r="F98" s="48">
        <f>IF(MONTH($A98)=12,2.333,1)*VLOOKUP($A98,'Página22'!$A$1:$S$27,COLUMN(),TRUE)</f>
        <v>1</v>
      </c>
      <c r="G98" s="48">
        <f t="shared" si="8"/>
        <v>1.434623949</v>
      </c>
      <c r="H98" s="48">
        <f>IF(MONTH($A98)=12,2.333,1)*VLOOKUP($A98,'Página22'!$A$1:$S$27,COLUMN(),TRUE)</f>
        <v>1.047923229</v>
      </c>
      <c r="I98" s="48">
        <f t="shared" si="4"/>
        <v>1.099540719</v>
      </c>
      <c r="J98" s="48">
        <f>IF(MONTH($A98)=12,2.333,1)*VLOOKUP($A98,'Página22'!$A$1:$S$27,COLUMN(),TRUE)</f>
        <v>1.047923229</v>
      </c>
      <c r="K98" s="48">
        <f>IF(MONTH($A98)=12,2.333,1)*VLOOKUP($A98,'Página22'!$A$1:$S$27,COLUMN(),TRUE)</f>
        <v>1</v>
      </c>
      <c r="L98" s="48">
        <f>VLOOKUP($A98,'Página22'!$A$1:$S$27,COLUMN(),TRUE)</f>
        <v>0.9975895772</v>
      </c>
      <c r="M98" s="48">
        <f>VLOOKUP($A98,'Página22'!$A$1:$S$27,COLUMN(),TRUE)</f>
        <v>0.3985490535</v>
      </c>
      <c r="N98" s="48">
        <f>VLOOKUP($A98,'Página22'!$A$1:$S$27,COLUMN(),TRUE)</f>
        <v>0.9975868956</v>
      </c>
      <c r="O98" s="48">
        <f>VLOOKUP($A98,'Página22'!$A$1:$S$27,COLUMN(),TRUE)</f>
        <v>0.100559985</v>
      </c>
      <c r="P98" s="48">
        <f>VLOOKUP($A98,'Página22'!$A$1:$S$27,COLUMN(),TRUE)</f>
        <v>0.9978051</v>
      </c>
      <c r="Q98" s="48">
        <f>VLOOKUP($A98,'Página22'!$A$1:$S$27,COLUMN(),TRUE)</f>
        <v>0.4480192199</v>
      </c>
      <c r="R98" s="48">
        <f>VLOOKUP($A98,'Página22'!$A$1:$S$27,COLUMN(),TRUE)</f>
        <v>0.9978028392</v>
      </c>
      <c r="S98" s="48">
        <f>VLOOKUP($A98,'Página22'!$A$1:$S$27,COLUMN(),TRUE)</f>
        <v>0.1130420601</v>
      </c>
      <c r="T98" s="73">
        <f t="shared" si="5"/>
        <v>2024</v>
      </c>
      <c r="U98" s="73">
        <f t="shared" si="6"/>
        <v>1</v>
      </c>
    </row>
    <row r="99">
      <c r="A99" s="34">
        <v>45323.0</v>
      </c>
      <c r="B99" s="48">
        <f t="shared" si="7"/>
        <v>1.463226092</v>
      </c>
      <c r="C99" s="48">
        <f>IF(MONTH($A99)=12,2.333,1)*VLOOKUP($A99,'Página22'!$A$1:$S$27,COLUMN(),TRUE)</f>
        <v>1.052631579</v>
      </c>
      <c r="D99" s="48">
        <f t="shared" si="2"/>
        <v>1.133342909</v>
      </c>
      <c r="E99" s="48">
        <f>IF(MONTH($A99)=12,2.333,1)*VLOOKUP($A99,'Página22'!$A$1:$S$27,COLUMN(),TRUE)</f>
        <v>1.052631579</v>
      </c>
      <c r="F99" s="48">
        <f>IF(MONTH($A99)=12,2.333,1)*VLOOKUP($A99,'Página22'!$A$1:$S$27,COLUMN(),TRUE)</f>
        <v>1</v>
      </c>
      <c r="G99" s="48">
        <f t="shared" si="8"/>
        <v>1.520940149</v>
      </c>
      <c r="H99" s="48">
        <f>IF(MONTH($A99)=12,2.333,1)*VLOOKUP($A99,'Página22'!$A$1:$S$27,COLUMN(),TRUE)</f>
        <v>1.047895748</v>
      </c>
      <c r="I99" s="48">
        <f t="shared" si="4"/>
        <v>1.150323405</v>
      </c>
      <c r="J99" s="48">
        <f>IF(MONTH($A99)=12,2.333,1)*VLOOKUP($A99,'Página22'!$A$1:$S$27,COLUMN(),TRUE)</f>
        <v>1.047895748</v>
      </c>
      <c r="K99" s="48">
        <f>IF(MONTH($A99)=12,2.333,1)*VLOOKUP($A99,'Página22'!$A$1:$S$27,COLUMN(),TRUE)</f>
        <v>1</v>
      </c>
      <c r="L99" s="48">
        <f>VLOOKUP($A99,'Página22'!$A$1:$S$27,COLUMN(),TRUE)</f>
        <v>0.9975895772</v>
      </c>
      <c r="M99" s="48">
        <f>VLOOKUP($A99,'Página22'!$A$1:$S$27,COLUMN(),TRUE)</f>
        <v>0.4775757937</v>
      </c>
      <c r="N99" s="48">
        <f>VLOOKUP($A99,'Página22'!$A$1:$S$27,COLUMN(),TRUE)</f>
        <v>0.9975868956</v>
      </c>
      <c r="O99" s="48">
        <f>VLOOKUP($A99,'Página22'!$A$1:$S$27,COLUMN(),TRUE)</f>
        <v>0.1508399776</v>
      </c>
      <c r="P99" s="48">
        <f>VLOOKUP($A99,'Página22'!$A$1:$S$27,COLUMN(),TRUE)</f>
        <v>0.9978063587</v>
      </c>
      <c r="Q99" s="48">
        <f>VLOOKUP($A99,'Página22'!$A$1:$S$27,COLUMN(),TRUE)</f>
        <v>0.5365473435</v>
      </c>
      <c r="R99" s="48">
        <f>VLOOKUP($A99,'Página22'!$A$1:$S$27,COLUMN(),TRUE)</f>
        <v>0.9978040991</v>
      </c>
      <c r="S99" s="48">
        <f>VLOOKUP($A99,'Página22'!$A$1:$S$27,COLUMN(),TRUE)</f>
        <v>0.169465853</v>
      </c>
      <c r="T99" s="73">
        <f t="shared" si="5"/>
        <v>2024</v>
      </c>
      <c r="U99" s="73">
        <f t="shared" si="6"/>
        <v>2</v>
      </c>
    </row>
    <row r="100">
      <c r="A100" s="34">
        <v>45352.0</v>
      </c>
      <c r="B100" s="48">
        <f t="shared" si="7"/>
        <v>1.463226092</v>
      </c>
      <c r="C100" s="48">
        <f>IF(MONTH($A100)=12,2.333,1)*VLOOKUP($A100,'Página22'!$A$1:$S$27,COLUMN(),TRUE)</f>
        <v>1.052631579</v>
      </c>
      <c r="D100" s="48">
        <f t="shared" si="2"/>
        <v>1.133342909</v>
      </c>
      <c r="E100" s="48">
        <f>IF(MONTH($A100)=12,2.333,1)*VLOOKUP($A100,'Página22'!$A$1:$S$27,COLUMN(),TRUE)</f>
        <v>1.052631579</v>
      </c>
      <c r="F100" s="48">
        <f>IF(MONTH($A100)=12,2.333,1)*VLOOKUP($A100,'Página22'!$A$1:$S$27,COLUMN(),TRUE)</f>
        <v>1</v>
      </c>
      <c r="G100" s="48">
        <f t="shared" si="8"/>
        <v>1.520940149</v>
      </c>
      <c r="H100" s="48">
        <f>IF(MONTH($A100)=12,2.333,1)*VLOOKUP($A100,'Página22'!$A$1:$S$27,COLUMN(),TRUE)</f>
        <v>1.047895748</v>
      </c>
      <c r="I100" s="48">
        <f t="shared" si="4"/>
        <v>1.150323405</v>
      </c>
      <c r="J100" s="48">
        <f>IF(MONTH($A100)=12,2.333,1)*VLOOKUP($A100,'Página22'!$A$1:$S$27,COLUMN(),TRUE)</f>
        <v>1.047895748</v>
      </c>
      <c r="K100" s="48">
        <f>IF(MONTH($A100)=12,2.333,1)*VLOOKUP($A100,'Página22'!$A$1:$S$27,COLUMN(),TRUE)</f>
        <v>1</v>
      </c>
      <c r="L100" s="48">
        <f>VLOOKUP($A100,'Página22'!$A$1:$S$27,COLUMN(),TRUE)</f>
        <v>0.9975895772</v>
      </c>
      <c r="M100" s="48">
        <f>VLOOKUP($A100,'Página22'!$A$1:$S$27,COLUMN(),TRUE)</f>
        <v>0.4775757937</v>
      </c>
      <c r="N100" s="48">
        <f>VLOOKUP($A100,'Página22'!$A$1:$S$27,COLUMN(),TRUE)</f>
        <v>0.9975868956</v>
      </c>
      <c r="O100" s="48">
        <f>VLOOKUP($A100,'Página22'!$A$1:$S$27,COLUMN(),TRUE)</f>
        <v>0.1508399776</v>
      </c>
      <c r="P100" s="48">
        <f>VLOOKUP($A100,'Página22'!$A$1:$S$27,COLUMN(),TRUE)</f>
        <v>0.9978063587</v>
      </c>
      <c r="Q100" s="48">
        <f>VLOOKUP($A100,'Página22'!$A$1:$S$27,COLUMN(),TRUE)</f>
        <v>0.5365473435</v>
      </c>
      <c r="R100" s="48">
        <f>VLOOKUP($A100,'Página22'!$A$1:$S$27,COLUMN(),TRUE)</f>
        <v>0.9978040991</v>
      </c>
      <c r="S100" s="48">
        <f>VLOOKUP($A100,'Página22'!$A$1:$S$27,COLUMN(),TRUE)</f>
        <v>0.169465853</v>
      </c>
      <c r="T100" s="73">
        <f t="shared" si="5"/>
        <v>2024</v>
      </c>
      <c r="U100" s="73">
        <f t="shared" si="6"/>
        <v>3</v>
      </c>
    </row>
    <row r="101">
      <c r="A101" s="34">
        <v>45383.0</v>
      </c>
      <c r="B101" s="48">
        <f t="shared" si="7"/>
        <v>1.463226092</v>
      </c>
      <c r="C101" s="48">
        <f>IF(MONTH($A101)=12,2.333,1)*VLOOKUP($A101,'Página22'!$A$1:$S$27,COLUMN(),TRUE)</f>
        <v>1.052631579</v>
      </c>
      <c r="D101" s="48">
        <f t="shared" si="2"/>
        <v>1.133342909</v>
      </c>
      <c r="E101" s="48">
        <f>IF(MONTH($A101)=12,2.333,1)*VLOOKUP($A101,'Página22'!$A$1:$S$27,COLUMN(),TRUE)</f>
        <v>1.052631579</v>
      </c>
      <c r="F101" s="48">
        <f>IF(MONTH($A101)=12,2.333,1)*VLOOKUP($A101,'Página22'!$A$1:$S$27,COLUMN(),TRUE)</f>
        <v>1</v>
      </c>
      <c r="G101" s="48">
        <f t="shared" si="8"/>
        <v>1.520940149</v>
      </c>
      <c r="H101" s="48">
        <f>IF(MONTH($A101)=12,2.333,1)*VLOOKUP($A101,'Página22'!$A$1:$S$27,COLUMN(),TRUE)</f>
        <v>1.047895748</v>
      </c>
      <c r="I101" s="48">
        <f t="shared" si="4"/>
        <v>1.150323405</v>
      </c>
      <c r="J101" s="48">
        <f>IF(MONTH($A101)=12,2.333,1)*VLOOKUP($A101,'Página22'!$A$1:$S$27,COLUMN(),TRUE)</f>
        <v>1.047895748</v>
      </c>
      <c r="K101" s="48">
        <f>IF(MONTH($A101)=12,2.333,1)*VLOOKUP($A101,'Página22'!$A$1:$S$27,COLUMN(),TRUE)</f>
        <v>1</v>
      </c>
      <c r="L101" s="48">
        <f>VLOOKUP($A101,'Página22'!$A$1:$S$27,COLUMN(),TRUE)</f>
        <v>0.9975895772</v>
      </c>
      <c r="M101" s="48">
        <f>VLOOKUP($A101,'Página22'!$A$1:$S$27,COLUMN(),TRUE)</f>
        <v>0.4775757937</v>
      </c>
      <c r="N101" s="48">
        <f>VLOOKUP($A101,'Página22'!$A$1:$S$27,COLUMN(),TRUE)</f>
        <v>0.9975868956</v>
      </c>
      <c r="O101" s="48">
        <f>VLOOKUP($A101,'Página22'!$A$1:$S$27,COLUMN(),TRUE)</f>
        <v>0.1508399776</v>
      </c>
      <c r="P101" s="48">
        <f>VLOOKUP($A101,'Página22'!$A$1:$S$27,COLUMN(),TRUE)</f>
        <v>0.9978063587</v>
      </c>
      <c r="Q101" s="48">
        <f>VLOOKUP($A101,'Página22'!$A$1:$S$27,COLUMN(),TRUE)</f>
        <v>0.5365473435</v>
      </c>
      <c r="R101" s="48">
        <f>VLOOKUP($A101,'Página22'!$A$1:$S$27,COLUMN(),TRUE)</f>
        <v>0.9978040991</v>
      </c>
      <c r="S101" s="48">
        <f>VLOOKUP($A101,'Página22'!$A$1:$S$27,COLUMN(),TRUE)</f>
        <v>0.169465853</v>
      </c>
      <c r="T101" s="73">
        <f t="shared" si="5"/>
        <v>2024</v>
      </c>
      <c r="U101" s="73">
        <f t="shared" si="6"/>
        <v>4</v>
      </c>
    </row>
    <row r="102">
      <c r="A102" s="34">
        <v>45413.0</v>
      </c>
      <c r="B102" s="48">
        <f t="shared" si="7"/>
        <v>1.463226092</v>
      </c>
      <c r="C102" s="48">
        <f>IF(MONTH($A102)=12,2.333,1)*VLOOKUP($A102,'Página22'!$A$1:$S$27,COLUMN(),TRUE)</f>
        <v>1.052631579</v>
      </c>
      <c r="D102" s="48">
        <f t="shared" si="2"/>
        <v>1.133342909</v>
      </c>
      <c r="E102" s="48">
        <f>IF(MONTH($A102)=12,2.333,1)*VLOOKUP($A102,'Página22'!$A$1:$S$27,COLUMN(),TRUE)</f>
        <v>1.052631579</v>
      </c>
      <c r="F102" s="48">
        <f>IF(MONTH($A102)=12,2.333,1)*VLOOKUP($A102,'Página22'!$A$1:$S$27,COLUMN(),TRUE)</f>
        <v>1</v>
      </c>
      <c r="G102" s="48">
        <f t="shared" si="8"/>
        <v>1.520940149</v>
      </c>
      <c r="H102" s="48">
        <f>IF(MONTH($A102)=12,2.333,1)*VLOOKUP($A102,'Página22'!$A$1:$S$27,COLUMN(),TRUE)</f>
        <v>1.047895748</v>
      </c>
      <c r="I102" s="48">
        <f t="shared" si="4"/>
        <v>1.150323405</v>
      </c>
      <c r="J102" s="48">
        <f>IF(MONTH($A102)=12,2.333,1)*VLOOKUP($A102,'Página22'!$A$1:$S$27,COLUMN(),TRUE)</f>
        <v>1.047895748</v>
      </c>
      <c r="K102" s="48">
        <f>IF(MONTH($A102)=12,2.333,1)*VLOOKUP($A102,'Página22'!$A$1:$S$27,COLUMN(),TRUE)</f>
        <v>1</v>
      </c>
      <c r="L102" s="48">
        <f>VLOOKUP($A102,'Página22'!$A$1:$S$27,COLUMN(),TRUE)</f>
        <v>0.9975895772</v>
      </c>
      <c r="M102" s="48">
        <f>VLOOKUP($A102,'Página22'!$A$1:$S$27,COLUMN(),TRUE)</f>
        <v>0.4775757937</v>
      </c>
      <c r="N102" s="48">
        <f>VLOOKUP($A102,'Página22'!$A$1:$S$27,COLUMN(),TRUE)</f>
        <v>0.9975868956</v>
      </c>
      <c r="O102" s="48">
        <f>VLOOKUP($A102,'Página22'!$A$1:$S$27,COLUMN(),TRUE)</f>
        <v>0.1508399776</v>
      </c>
      <c r="P102" s="48">
        <f>VLOOKUP($A102,'Página22'!$A$1:$S$27,COLUMN(),TRUE)</f>
        <v>0.9978063587</v>
      </c>
      <c r="Q102" s="48">
        <f>VLOOKUP($A102,'Página22'!$A$1:$S$27,COLUMN(),TRUE)</f>
        <v>0.5365473435</v>
      </c>
      <c r="R102" s="48">
        <f>VLOOKUP($A102,'Página22'!$A$1:$S$27,COLUMN(),TRUE)</f>
        <v>0.9978040991</v>
      </c>
      <c r="S102" s="48">
        <f>VLOOKUP($A102,'Página22'!$A$1:$S$27,COLUMN(),TRUE)</f>
        <v>0.169465853</v>
      </c>
      <c r="T102" s="73">
        <f t="shared" si="5"/>
        <v>2024</v>
      </c>
      <c r="U102" s="73">
        <f t="shared" si="6"/>
        <v>5</v>
      </c>
    </row>
    <row r="103">
      <c r="A103" s="34">
        <v>45444.0</v>
      </c>
      <c r="B103" s="48">
        <f t="shared" si="7"/>
        <v>1.463226092</v>
      </c>
      <c r="C103" s="48">
        <f>IF(MONTH($A103)=12,2.333,1)*VLOOKUP($A103,'Página22'!$A$1:$S$27,COLUMN(),TRUE)</f>
        <v>1.052631579</v>
      </c>
      <c r="D103" s="48">
        <f t="shared" si="2"/>
        <v>1.133342909</v>
      </c>
      <c r="E103" s="48">
        <f>IF(MONTH($A103)=12,2.333,1)*VLOOKUP($A103,'Página22'!$A$1:$S$27,COLUMN(),TRUE)</f>
        <v>1.052631579</v>
      </c>
      <c r="F103" s="48">
        <f>IF(MONTH($A103)=12,2.333,1)*VLOOKUP($A103,'Página22'!$A$1:$S$27,COLUMN(),TRUE)</f>
        <v>1</v>
      </c>
      <c r="G103" s="48">
        <f t="shared" si="8"/>
        <v>1.520940149</v>
      </c>
      <c r="H103" s="48">
        <f>IF(MONTH($A103)=12,2.333,1)*VLOOKUP($A103,'Página22'!$A$1:$S$27,COLUMN(),TRUE)</f>
        <v>1.047895748</v>
      </c>
      <c r="I103" s="48">
        <f t="shared" si="4"/>
        <v>1.150323405</v>
      </c>
      <c r="J103" s="48">
        <f>IF(MONTH($A103)=12,2.333,1)*VLOOKUP($A103,'Página22'!$A$1:$S$27,COLUMN(),TRUE)</f>
        <v>1.047895748</v>
      </c>
      <c r="K103" s="48">
        <f>IF(MONTH($A103)=12,2.333,1)*VLOOKUP($A103,'Página22'!$A$1:$S$27,COLUMN(),TRUE)</f>
        <v>1</v>
      </c>
      <c r="L103" s="48">
        <f>VLOOKUP($A103,'Página22'!$A$1:$S$27,COLUMN(),TRUE)</f>
        <v>0.9975895772</v>
      </c>
      <c r="M103" s="48">
        <f>VLOOKUP($A103,'Página22'!$A$1:$S$27,COLUMN(),TRUE)</f>
        <v>0.4775757937</v>
      </c>
      <c r="N103" s="48">
        <f>VLOOKUP($A103,'Página22'!$A$1:$S$27,COLUMN(),TRUE)</f>
        <v>0.9975868956</v>
      </c>
      <c r="O103" s="48">
        <f>VLOOKUP($A103,'Página22'!$A$1:$S$27,COLUMN(),TRUE)</f>
        <v>0.1508399776</v>
      </c>
      <c r="P103" s="48">
        <f>VLOOKUP($A103,'Página22'!$A$1:$S$27,COLUMN(),TRUE)</f>
        <v>0.9978063587</v>
      </c>
      <c r="Q103" s="48">
        <f>VLOOKUP($A103,'Página22'!$A$1:$S$27,COLUMN(),TRUE)</f>
        <v>0.5365473435</v>
      </c>
      <c r="R103" s="48">
        <f>VLOOKUP($A103,'Página22'!$A$1:$S$27,COLUMN(),TRUE)</f>
        <v>0.9978040991</v>
      </c>
      <c r="S103" s="48">
        <f>VLOOKUP($A103,'Página22'!$A$1:$S$27,COLUMN(),TRUE)</f>
        <v>0.169465853</v>
      </c>
      <c r="T103" s="73">
        <f t="shared" si="5"/>
        <v>2024</v>
      </c>
      <c r="U103" s="73">
        <f t="shared" si="6"/>
        <v>6</v>
      </c>
    </row>
    <row r="104">
      <c r="A104" s="34">
        <v>45474.0</v>
      </c>
      <c r="B104" s="48">
        <f t="shared" si="7"/>
        <v>1.463226092</v>
      </c>
      <c r="C104" s="48">
        <f>IF(MONTH($A104)=12,2.333,1)*VLOOKUP($A104,'Página22'!$A$1:$S$27,COLUMN(),TRUE)</f>
        <v>1.052631579</v>
      </c>
      <c r="D104" s="48">
        <f t="shared" si="2"/>
        <v>1.133342909</v>
      </c>
      <c r="E104" s="48">
        <f>IF(MONTH($A104)=12,2.333,1)*VLOOKUP($A104,'Página22'!$A$1:$S$27,COLUMN(),TRUE)</f>
        <v>1.052631579</v>
      </c>
      <c r="F104" s="48">
        <f>IF(MONTH($A104)=12,2.333,1)*VLOOKUP($A104,'Página22'!$A$1:$S$27,COLUMN(),TRUE)</f>
        <v>1</v>
      </c>
      <c r="G104" s="48">
        <f t="shared" si="8"/>
        <v>1.520940149</v>
      </c>
      <c r="H104" s="48">
        <f>IF(MONTH($A104)=12,2.333,1)*VLOOKUP($A104,'Página22'!$A$1:$S$27,COLUMN(),TRUE)</f>
        <v>1.047895748</v>
      </c>
      <c r="I104" s="48">
        <f t="shared" si="4"/>
        <v>1.150323405</v>
      </c>
      <c r="J104" s="48">
        <f>IF(MONTH($A104)=12,2.333,1)*VLOOKUP($A104,'Página22'!$A$1:$S$27,COLUMN(),TRUE)</f>
        <v>1.047895748</v>
      </c>
      <c r="K104" s="48">
        <f>IF(MONTH($A104)=12,2.333,1)*VLOOKUP($A104,'Página22'!$A$1:$S$27,COLUMN(),TRUE)</f>
        <v>1</v>
      </c>
      <c r="L104" s="48">
        <f>VLOOKUP($A104,'Página22'!$A$1:$S$27,COLUMN(),TRUE)</f>
        <v>0.9975895772</v>
      </c>
      <c r="M104" s="48">
        <f>VLOOKUP($A104,'Página22'!$A$1:$S$27,COLUMN(),TRUE)</f>
        <v>0.4775757937</v>
      </c>
      <c r="N104" s="48">
        <f>VLOOKUP($A104,'Página22'!$A$1:$S$27,COLUMN(),TRUE)</f>
        <v>0.9975868956</v>
      </c>
      <c r="O104" s="48">
        <f>VLOOKUP($A104,'Página22'!$A$1:$S$27,COLUMN(),TRUE)</f>
        <v>0.1508399776</v>
      </c>
      <c r="P104" s="48">
        <f>VLOOKUP($A104,'Página22'!$A$1:$S$27,COLUMN(),TRUE)</f>
        <v>0.9978063587</v>
      </c>
      <c r="Q104" s="48">
        <f>VLOOKUP($A104,'Página22'!$A$1:$S$27,COLUMN(),TRUE)</f>
        <v>0.5365473435</v>
      </c>
      <c r="R104" s="48">
        <f>VLOOKUP($A104,'Página22'!$A$1:$S$27,COLUMN(),TRUE)</f>
        <v>0.9978040991</v>
      </c>
      <c r="S104" s="48">
        <f>VLOOKUP($A104,'Página22'!$A$1:$S$27,COLUMN(),TRUE)</f>
        <v>0.169465853</v>
      </c>
      <c r="T104" s="73">
        <f t="shared" si="5"/>
        <v>2024</v>
      </c>
      <c r="U104" s="73">
        <f t="shared" si="6"/>
        <v>7</v>
      </c>
    </row>
    <row r="105">
      <c r="A105" s="34">
        <v>45505.0</v>
      </c>
      <c r="B105" s="48">
        <f t="shared" si="7"/>
        <v>1.463226092</v>
      </c>
      <c r="C105" s="48">
        <f>IF(MONTH($A105)=12,2.333,1)*VLOOKUP($A105,'Página22'!$A$1:$S$27,COLUMN(),TRUE)</f>
        <v>1.052631579</v>
      </c>
      <c r="D105" s="48">
        <f t="shared" si="2"/>
        <v>1.148426911</v>
      </c>
      <c r="E105" s="48">
        <f>IF(MONTH($A105)=12,2.333,1)*VLOOKUP($A105,'Página22'!$A$1:$S$27,COLUMN(),TRUE)</f>
        <v>1.052631579</v>
      </c>
      <c r="F105" s="48">
        <f>IF(MONTH($A105)=12,2.333,1)*VLOOKUP($A105,'Página22'!$A$1:$S$27,COLUMN(),TRUE)</f>
        <v>1</v>
      </c>
      <c r="G105" s="48">
        <f t="shared" si="8"/>
        <v>1.520940149</v>
      </c>
      <c r="H105" s="48">
        <f>IF(MONTH($A105)=12,2.333,1)*VLOOKUP($A105,'Página22'!$A$1:$S$27,COLUMN(),TRUE)</f>
        <v>1.047895748</v>
      </c>
      <c r="I105" s="48">
        <f t="shared" si="4"/>
        <v>1.167269994</v>
      </c>
      <c r="J105" s="48">
        <f>IF(MONTH($A105)=12,2.333,1)*VLOOKUP($A105,'Página22'!$A$1:$S$27,COLUMN(),TRUE)</f>
        <v>1.047895748</v>
      </c>
      <c r="K105" s="48">
        <f>IF(MONTH($A105)=12,2.333,1)*VLOOKUP($A105,'Página22'!$A$1:$S$27,COLUMN(),TRUE)</f>
        <v>1</v>
      </c>
      <c r="L105" s="48">
        <f>VLOOKUP($A105,'Página22'!$A$1:$S$27,COLUMN(),TRUE)</f>
        <v>0.9975895772</v>
      </c>
      <c r="M105" s="48">
        <f>VLOOKUP($A105,'Página22'!$A$1:$S$27,COLUMN(),TRUE)</f>
        <v>0.4775757937</v>
      </c>
      <c r="N105" s="48">
        <f>VLOOKUP($A105,'Página22'!$A$1:$S$27,COLUMN(),TRUE)</f>
        <v>0.9975868956</v>
      </c>
      <c r="O105" s="48">
        <f>VLOOKUP($A105,'Página22'!$A$1:$S$27,COLUMN(),TRUE)</f>
        <v>0.1675999751</v>
      </c>
      <c r="P105" s="48">
        <f>VLOOKUP($A105,'Página22'!$A$1:$S$27,COLUMN(),TRUE)</f>
        <v>0.9978063587</v>
      </c>
      <c r="Q105" s="48">
        <f>VLOOKUP($A105,'Página22'!$A$1:$S$27,COLUMN(),TRUE)</f>
        <v>0.5365473435</v>
      </c>
      <c r="R105" s="48">
        <f>VLOOKUP($A105,'Página22'!$A$1:$S$27,COLUMN(),TRUE)</f>
        <v>0.9978040991</v>
      </c>
      <c r="S105" s="48">
        <f>VLOOKUP($A105,'Página22'!$A$1:$S$27,COLUMN(),TRUE)</f>
        <v>0.1882953922</v>
      </c>
      <c r="T105" s="73">
        <f t="shared" si="5"/>
        <v>2024</v>
      </c>
      <c r="U105" s="73">
        <f t="shared" si="6"/>
        <v>8</v>
      </c>
    </row>
    <row r="106">
      <c r="A106" s="34">
        <v>45536.0</v>
      </c>
      <c r="B106" s="48">
        <f t="shared" si="7"/>
        <v>1.463226092</v>
      </c>
      <c r="C106" s="48">
        <f>IF(MONTH($A106)=12,2.333,1)*VLOOKUP($A106,'Página22'!$A$1:$S$27,COLUMN(),TRUE)</f>
        <v>1.052631579</v>
      </c>
      <c r="D106" s="48">
        <f t="shared" si="2"/>
        <v>1.148426911</v>
      </c>
      <c r="E106" s="48">
        <f>IF(MONTH($A106)=12,2.333,1)*VLOOKUP($A106,'Página22'!$A$1:$S$27,COLUMN(),TRUE)</f>
        <v>1.052631579</v>
      </c>
      <c r="F106" s="48">
        <f>IF(MONTH($A106)=12,2.333,1)*VLOOKUP($A106,'Página22'!$A$1:$S$27,COLUMN(),TRUE)</f>
        <v>1</v>
      </c>
      <c r="G106" s="48">
        <f t="shared" si="8"/>
        <v>1.520940149</v>
      </c>
      <c r="H106" s="48">
        <f>IF(MONTH($A106)=12,2.333,1)*VLOOKUP($A106,'Página22'!$A$1:$S$27,COLUMN(),TRUE)</f>
        <v>1.047895748</v>
      </c>
      <c r="I106" s="48">
        <f t="shared" si="4"/>
        <v>1.167269994</v>
      </c>
      <c r="J106" s="48">
        <f>IF(MONTH($A106)=12,2.333,1)*VLOOKUP($A106,'Página22'!$A$1:$S$27,COLUMN(),TRUE)</f>
        <v>1.047895748</v>
      </c>
      <c r="K106" s="48">
        <f>IF(MONTH($A106)=12,2.333,1)*VLOOKUP($A106,'Página22'!$A$1:$S$27,COLUMN(),TRUE)</f>
        <v>1</v>
      </c>
      <c r="L106" s="48">
        <f>VLOOKUP($A106,'Página22'!$A$1:$S$27,COLUMN(),TRUE)</f>
        <v>0.9975895772</v>
      </c>
      <c r="M106" s="48">
        <f>VLOOKUP($A106,'Página22'!$A$1:$S$27,COLUMN(),TRUE)</f>
        <v>0.4775757937</v>
      </c>
      <c r="N106" s="48">
        <f>VLOOKUP($A106,'Página22'!$A$1:$S$27,COLUMN(),TRUE)</f>
        <v>0.9975868956</v>
      </c>
      <c r="O106" s="48">
        <f>VLOOKUP($A106,'Página22'!$A$1:$S$27,COLUMN(),TRUE)</f>
        <v>0.1675999751</v>
      </c>
      <c r="P106" s="48">
        <f>VLOOKUP($A106,'Página22'!$A$1:$S$27,COLUMN(),TRUE)</f>
        <v>0.9978063587</v>
      </c>
      <c r="Q106" s="48">
        <f>VLOOKUP($A106,'Página22'!$A$1:$S$27,COLUMN(),TRUE)</f>
        <v>0.5365473435</v>
      </c>
      <c r="R106" s="48">
        <f>VLOOKUP($A106,'Página22'!$A$1:$S$27,COLUMN(),TRUE)</f>
        <v>0.9978040991</v>
      </c>
      <c r="S106" s="48">
        <f>VLOOKUP($A106,'Página22'!$A$1:$S$27,COLUMN(),TRUE)</f>
        <v>0.1882953922</v>
      </c>
      <c r="T106" s="73">
        <f t="shared" si="5"/>
        <v>2024</v>
      </c>
      <c r="U106" s="73">
        <f t="shared" si="6"/>
        <v>9</v>
      </c>
    </row>
    <row r="107">
      <c r="A107" s="34">
        <v>45566.0</v>
      </c>
      <c r="B107" s="48">
        <f t="shared" si="7"/>
        <v>1.463226092</v>
      </c>
      <c r="C107" s="48">
        <f>IF(MONTH($A107)=12,2.333,1)*VLOOKUP($A107,'Página22'!$A$1:$S$27,COLUMN(),TRUE)</f>
        <v>1.052631579</v>
      </c>
      <c r="D107" s="48">
        <f t="shared" si="2"/>
        <v>1.148426911</v>
      </c>
      <c r="E107" s="48">
        <f>IF(MONTH($A107)=12,2.333,1)*VLOOKUP($A107,'Página22'!$A$1:$S$27,COLUMN(),TRUE)</f>
        <v>1.052631579</v>
      </c>
      <c r="F107" s="48">
        <f>IF(MONTH($A107)=12,2.333,1)*VLOOKUP($A107,'Página22'!$A$1:$S$27,COLUMN(),TRUE)</f>
        <v>1</v>
      </c>
      <c r="G107" s="48">
        <f t="shared" si="8"/>
        <v>1.520940149</v>
      </c>
      <c r="H107" s="48">
        <f>IF(MONTH($A107)=12,2.333,1)*VLOOKUP($A107,'Página22'!$A$1:$S$27,COLUMN(),TRUE)</f>
        <v>1.047895748</v>
      </c>
      <c r="I107" s="48">
        <f t="shared" si="4"/>
        <v>1.167269994</v>
      </c>
      <c r="J107" s="48">
        <f>IF(MONTH($A107)=12,2.333,1)*VLOOKUP($A107,'Página22'!$A$1:$S$27,COLUMN(),TRUE)</f>
        <v>1.047895748</v>
      </c>
      <c r="K107" s="48">
        <f>IF(MONTH($A107)=12,2.333,1)*VLOOKUP($A107,'Página22'!$A$1:$S$27,COLUMN(),TRUE)</f>
        <v>1</v>
      </c>
      <c r="L107" s="48">
        <f>VLOOKUP($A107,'Página22'!$A$1:$S$27,COLUMN(),TRUE)</f>
        <v>0.9975895772</v>
      </c>
      <c r="M107" s="48">
        <f>VLOOKUP($A107,'Página22'!$A$1:$S$27,COLUMN(),TRUE)</f>
        <v>0.4775757937</v>
      </c>
      <c r="N107" s="48">
        <f>VLOOKUP($A107,'Página22'!$A$1:$S$27,COLUMN(),TRUE)</f>
        <v>0.9975868956</v>
      </c>
      <c r="O107" s="48">
        <f>VLOOKUP($A107,'Página22'!$A$1:$S$27,COLUMN(),TRUE)</f>
        <v>0.1675999751</v>
      </c>
      <c r="P107" s="48">
        <f>VLOOKUP($A107,'Página22'!$A$1:$S$27,COLUMN(),TRUE)</f>
        <v>0.9978063587</v>
      </c>
      <c r="Q107" s="48">
        <f>VLOOKUP($A107,'Página22'!$A$1:$S$27,COLUMN(),TRUE)</f>
        <v>0.5365473435</v>
      </c>
      <c r="R107" s="48">
        <f>VLOOKUP($A107,'Página22'!$A$1:$S$27,COLUMN(),TRUE)</f>
        <v>0.9978040991</v>
      </c>
      <c r="S107" s="48">
        <f>VLOOKUP($A107,'Página22'!$A$1:$S$27,COLUMN(),TRUE)</f>
        <v>0.1882953922</v>
      </c>
      <c r="T107" s="73">
        <f t="shared" si="5"/>
        <v>2024</v>
      </c>
      <c r="U107" s="73">
        <f t="shared" si="6"/>
        <v>10</v>
      </c>
    </row>
    <row r="108">
      <c r="A108" s="34">
        <v>45597.0</v>
      </c>
      <c r="B108" s="48">
        <f t="shared" si="7"/>
        <v>1.463226092</v>
      </c>
      <c r="C108" s="48">
        <f>IF(MONTH($A108)=12,2.333,1)*VLOOKUP($A108,'Página22'!$A$1:$S$27,COLUMN(),TRUE)</f>
        <v>1.052631579</v>
      </c>
      <c r="D108" s="48">
        <f t="shared" si="2"/>
        <v>1.148426911</v>
      </c>
      <c r="E108" s="48">
        <f>IF(MONTH($A108)=12,2.333,1)*VLOOKUP($A108,'Página22'!$A$1:$S$27,COLUMN(),TRUE)</f>
        <v>1.052631579</v>
      </c>
      <c r="F108" s="48">
        <f>IF(MONTH($A108)=12,2.333,1)*VLOOKUP($A108,'Página22'!$A$1:$S$27,COLUMN(),TRUE)</f>
        <v>1</v>
      </c>
      <c r="G108" s="48">
        <f t="shared" si="8"/>
        <v>1.520940149</v>
      </c>
      <c r="H108" s="48">
        <f>IF(MONTH($A108)=12,2.333,1)*VLOOKUP($A108,'Página22'!$A$1:$S$27,COLUMN(),TRUE)</f>
        <v>1.047895748</v>
      </c>
      <c r="I108" s="48">
        <f t="shared" si="4"/>
        <v>1.167269994</v>
      </c>
      <c r="J108" s="48">
        <f>IF(MONTH($A108)=12,2.333,1)*VLOOKUP($A108,'Página22'!$A$1:$S$27,COLUMN(),TRUE)</f>
        <v>1.047895748</v>
      </c>
      <c r="K108" s="48">
        <f>IF(MONTH($A108)=12,2.333,1)*VLOOKUP($A108,'Página22'!$A$1:$S$27,COLUMN(),TRUE)</f>
        <v>1</v>
      </c>
      <c r="L108" s="48">
        <f>VLOOKUP($A108,'Página22'!$A$1:$S$27,COLUMN(),TRUE)</f>
        <v>0.9975895772</v>
      </c>
      <c r="M108" s="48">
        <f>VLOOKUP($A108,'Página22'!$A$1:$S$27,COLUMN(),TRUE)</f>
        <v>0.4775757937</v>
      </c>
      <c r="N108" s="48">
        <f>VLOOKUP($A108,'Página22'!$A$1:$S$27,COLUMN(),TRUE)</f>
        <v>0.9975868956</v>
      </c>
      <c r="O108" s="48">
        <f>VLOOKUP($A108,'Página22'!$A$1:$S$27,COLUMN(),TRUE)</f>
        <v>0.1675999751</v>
      </c>
      <c r="P108" s="48">
        <f>VLOOKUP($A108,'Página22'!$A$1:$S$27,COLUMN(),TRUE)</f>
        <v>0.9978063587</v>
      </c>
      <c r="Q108" s="48">
        <f>VLOOKUP($A108,'Página22'!$A$1:$S$27,COLUMN(),TRUE)</f>
        <v>0.5365473435</v>
      </c>
      <c r="R108" s="48">
        <f>VLOOKUP($A108,'Página22'!$A$1:$S$27,COLUMN(),TRUE)</f>
        <v>0.9978040991</v>
      </c>
      <c r="S108" s="48">
        <f>VLOOKUP($A108,'Página22'!$A$1:$S$27,COLUMN(),TRUE)</f>
        <v>0.1882953922</v>
      </c>
      <c r="T108" s="73">
        <f t="shared" si="5"/>
        <v>2024</v>
      </c>
      <c r="U108" s="73">
        <f t="shared" si="6"/>
        <v>11</v>
      </c>
    </row>
    <row r="109">
      <c r="A109" s="34">
        <v>45627.0</v>
      </c>
      <c r="B109" s="48">
        <f t="shared" si="7"/>
        <v>3.413706474</v>
      </c>
      <c r="C109" s="48">
        <f>IF(MONTH($A109)=12,2.333,1)*VLOOKUP($A109,'Página22'!$A$1:$S$27,COLUMN(),TRUE)</f>
        <v>2.455789474</v>
      </c>
      <c r="D109" s="48">
        <f t="shared" si="2"/>
        <v>2.679279983</v>
      </c>
      <c r="E109" s="48">
        <f>IF(MONTH($A109)=12,2.333,1)*VLOOKUP($A109,'Página22'!$A$1:$S$27,COLUMN(),TRUE)</f>
        <v>2.455789474</v>
      </c>
      <c r="F109" s="48">
        <f>IF(MONTH($A109)=12,2.333,1)*VLOOKUP($A109,'Página22'!$A$1:$S$27,COLUMN(),TRUE)</f>
        <v>2.333</v>
      </c>
      <c r="G109" s="48">
        <f t="shared" si="8"/>
        <v>3.548353368</v>
      </c>
      <c r="H109" s="48">
        <f>IF(MONTH($A109)=12,2.333,1)*VLOOKUP($A109,'Página22'!$A$1:$S$27,COLUMN(),TRUE)</f>
        <v>2.444740779</v>
      </c>
      <c r="I109" s="48">
        <f t="shared" si="4"/>
        <v>2.723240897</v>
      </c>
      <c r="J109" s="48">
        <f>IF(MONTH($A109)=12,2.333,1)*VLOOKUP($A109,'Página22'!$A$1:$S$27,COLUMN(),TRUE)</f>
        <v>2.444740779</v>
      </c>
      <c r="K109" s="48">
        <f>IF(MONTH($A109)=12,2.333,1)*VLOOKUP($A109,'Página22'!$A$1:$S$27,COLUMN(),TRUE)</f>
        <v>2.333</v>
      </c>
      <c r="L109" s="48">
        <f>VLOOKUP($A109,'Página22'!$A$1:$S$27,COLUMN(),TRUE)</f>
        <v>0.9975895772</v>
      </c>
      <c r="M109" s="48">
        <f>VLOOKUP($A109,'Página22'!$A$1:$S$27,COLUMN(),TRUE)</f>
        <v>0.4775757937</v>
      </c>
      <c r="N109" s="48">
        <f>VLOOKUP($A109,'Página22'!$A$1:$S$27,COLUMN(),TRUE)</f>
        <v>0.9975868956</v>
      </c>
      <c r="O109" s="48">
        <f>VLOOKUP($A109,'Página22'!$A$1:$S$27,COLUMN(),TRUE)</f>
        <v>0.1675999751</v>
      </c>
      <c r="P109" s="48">
        <f>VLOOKUP($A109,'Página22'!$A$1:$S$27,COLUMN(),TRUE)</f>
        <v>0.9978063587</v>
      </c>
      <c r="Q109" s="48">
        <f>VLOOKUP($A109,'Página22'!$A$1:$S$27,COLUMN(),TRUE)</f>
        <v>0.5365473435</v>
      </c>
      <c r="R109" s="48">
        <f>VLOOKUP($A109,'Página22'!$A$1:$S$27,COLUMN(),TRUE)</f>
        <v>0.9978040991</v>
      </c>
      <c r="S109" s="48">
        <f>VLOOKUP($A109,'Página22'!$A$1:$S$27,COLUMN(),TRUE)</f>
        <v>0.1882953922</v>
      </c>
      <c r="T109" s="73">
        <f t="shared" si="5"/>
        <v>2024</v>
      </c>
      <c r="U109" s="73">
        <f t="shared" si="6"/>
        <v>12</v>
      </c>
    </row>
    <row r="110">
      <c r="A110" s="34">
        <v>45658.0</v>
      </c>
      <c r="B110" s="48">
        <f t="shared" si="7"/>
        <v>1.319355748</v>
      </c>
      <c r="C110" s="48">
        <f>IF(MONTH($A110)=12,2.333,1)*VLOOKUP($A110,'Página22'!$A$1:$S$27,COLUMN(),TRUE)</f>
        <v>1.052631579</v>
      </c>
      <c r="D110" s="48">
        <f t="shared" si="2"/>
        <v>1.035508903</v>
      </c>
      <c r="E110" s="48">
        <f>IF(MONTH($A110)=12,2.333,1)*VLOOKUP($A110,'Página22'!$A$1:$S$27,COLUMN(),TRUE)</f>
        <v>1.052631579</v>
      </c>
      <c r="F110" s="48">
        <f>IF(MONTH($A110)=12,2.333,1)*VLOOKUP($A110,'Página22'!$A$1:$S$27,COLUMN(),TRUE)</f>
        <v>1</v>
      </c>
      <c r="G110" s="48">
        <f t="shared" si="8"/>
        <v>1.383636464</v>
      </c>
      <c r="H110" s="48">
        <f>IF(MONTH($A110)=12,2.333,1)*VLOOKUP($A110,'Página22'!$A$1:$S$27,COLUMN(),TRUE)</f>
        <v>1.048323331</v>
      </c>
      <c r="I110" s="48">
        <f t="shared" si="4"/>
        <v>1.061894071</v>
      </c>
      <c r="J110" s="48">
        <f>IF(MONTH($A110)=12,2.333,1)*VLOOKUP($A110,'Página22'!$A$1:$S$27,COLUMN(),TRUE)</f>
        <v>1.048323331</v>
      </c>
      <c r="K110" s="48">
        <f>IF(MONTH($A110)=12,2.333,1)*VLOOKUP($A110,'Página22'!$A$1:$S$27,COLUMN(),TRUE)</f>
        <v>1</v>
      </c>
      <c r="L110" s="48">
        <f>VLOOKUP($A110,'Página22'!$A$1:$S$27,COLUMN(),TRUE)</f>
        <v>0.8995025101</v>
      </c>
      <c r="M110" s="48">
        <f>VLOOKUP($A110,'Página22'!$A$1:$S$27,COLUMN(),TRUE)</f>
        <v>0.4306185981</v>
      </c>
      <c r="N110" s="48">
        <f>VLOOKUP($A110,'Página22'!$A$1:$S$27,COLUMN(),TRUE)</f>
        <v>0.8995000922</v>
      </c>
      <c r="O110" s="48">
        <f>VLOOKUP($A110,'Página22'!$A$1:$S$27,COLUMN(),TRUE)</f>
        <v>0.1511208634</v>
      </c>
      <c r="P110" s="48">
        <f>VLOOKUP($A110,'Página22'!$A$1:$S$27,COLUMN(),TRUE)</f>
        <v>0.9077288558</v>
      </c>
      <c r="Q110" s="48">
        <f>VLOOKUP($A110,'Página22'!$A$1:$S$27,COLUMN(),TRUE)</f>
        <v>0.488110245</v>
      </c>
      <c r="R110" s="48">
        <f>VLOOKUP($A110,'Página22'!$A$1:$S$27,COLUMN(),TRUE)</f>
        <v>0.9077268003</v>
      </c>
      <c r="S110" s="48">
        <f>VLOOKUP($A110,'Página22'!$A$1:$S$27,COLUMN(),TRUE)</f>
        <v>0.1712969249</v>
      </c>
      <c r="T110" s="73">
        <f t="shared" si="5"/>
        <v>2025</v>
      </c>
      <c r="U110" s="73">
        <f t="shared" si="6"/>
        <v>1</v>
      </c>
    </row>
    <row r="111">
      <c r="A111" s="34">
        <v>45689.0</v>
      </c>
      <c r="B111" s="48">
        <f t="shared" si="7"/>
        <v>1.388832925</v>
      </c>
      <c r="C111" s="48">
        <f>IF(MONTH($A111)=12,2.333,1)*VLOOKUP($A111,'Página22'!$A$1:$S$27,COLUMN(),TRUE)</f>
        <v>1.052631579</v>
      </c>
      <c r="D111" s="48">
        <f t="shared" si="2"/>
        <v>1.089912428</v>
      </c>
      <c r="E111" s="48">
        <f>IF(MONTH($A111)=12,2.333,1)*VLOOKUP($A111,'Página22'!$A$1:$S$27,COLUMN(),TRUE)</f>
        <v>1.052631579</v>
      </c>
      <c r="F111" s="48">
        <f>IF(MONTH($A111)=12,2.333,1)*VLOOKUP($A111,'Página22'!$A$1:$S$27,COLUMN(),TRUE)</f>
        <v>1</v>
      </c>
      <c r="G111" s="48">
        <f t="shared" si="8"/>
        <v>1.462389499</v>
      </c>
      <c r="H111" s="48">
        <f>IF(MONTH($A111)=12,2.333,1)*VLOOKUP($A111,'Página22'!$A$1:$S$27,COLUMN(),TRUE)</f>
        <v>1.048323331</v>
      </c>
      <c r="I111" s="48">
        <f t="shared" si="4"/>
        <v>1.12356098</v>
      </c>
      <c r="J111" s="48">
        <f>IF(MONTH($A111)=12,2.333,1)*VLOOKUP($A111,'Página22'!$A$1:$S$27,COLUMN(),TRUE)</f>
        <v>1.048323331</v>
      </c>
      <c r="K111" s="48">
        <f>IF(MONTH($A111)=12,2.333,1)*VLOOKUP($A111,'Página22'!$A$1:$S$27,COLUMN(),TRUE)</f>
        <v>1</v>
      </c>
      <c r="L111" s="48">
        <f>VLOOKUP($A111,'Página22'!$A$1:$S$27,COLUMN(),TRUE)</f>
        <v>0.8995025101</v>
      </c>
      <c r="M111" s="48">
        <f>VLOOKUP($A111,'Página22'!$A$1:$S$27,COLUMN(),TRUE)</f>
        <v>0.5018772234</v>
      </c>
      <c r="N111" s="48">
        <f>VLOOKUP($A111,'Página22'!$A$1:$S$27,COLUMN(),TRUE)</f>
        <v>0.8995000922</v>
      </c>
      <c r="O111" s="48">
        <f>VLOOKUP($A111,'Página22'!$A$1:$S$27,COLUMN(),TRUE)</f>
        <v>0.2115692088</v>
      </c>
      <c r="P111" s="48">
        <f>VLOOKUP($A111,'Página22'!$A$1:$S$27,COLUMN(),TRUE)</f>
        <v>0.9077288558</v>
      </c>
      <c r="Q111" s="48">
        <f>VLOOKUP($A111,'Página22'!$A$1:$S$27,COLUMN(),TRUE)</f>
        <v>0.5688825692</v>
      </c>
      <c r="R111" s="48">
        <f>VLOOKUP($A111,'Página22'!$A$1:$S$27,COLUMN(),TRUE)</f>
        <v>0.9077268003</v>
      </c>
      <c r="S111" s="48">
        <f>VLOOKUP($A111,'Página22'!$A$1:$S$27,COLUMN(),TRUE)</f>
        <v>0.2398156949</v>
      </c>
      <c r="T111" s="73">
        <f t="shared" si="5"/>
        <v>2025</v>
      </c>
      <c r="U111" s="73">
        <f t="shared" si="6"/>
        <v>2</v>
      </c>
    </row>
    <row r="112">
      <c r="A112" s="34">
        <v>45717.0</v>
      </c>
      <c r="B112" s="48">
        <f t="shared" si="7"/>
        <v>1.388832925</v>
      </c>
      <c r="C112" s="48">
        <f>IF(MONTH($A112)=12,2.333,1)*VLOOKUP($A112,'Página22'!$A$1:$S$27,COLUMN(),TRUE)</f>
        <v>1.052631579</v>
      </c>
      <c r="D112" s="48">
        <f t="shared" si="2"/>
        <v>1.089912428</v>
      </c>
      <c r="E112" s="48">
        <f>IF(MONTH($A112)=12,2.333,1)*VLOOKUP($A112,'Página22'!$A$1:$S$27,COLUMN(),TRUE)</f>
        <v>1.052631579</v>
      </c>
      <c r="F112" s="48">
        <f>IF(MONTH($A112)=12,2.333,1)*VLOOKUP($A112,'Página22'!$A$1:$S$27,COLUMN(),TRUE)</f>
        <v>1</v>
      </c>
      <c r="G112" s="48">
        <f t="shared" si="8"/>
        <v>1.462389499</v>
      </c>
      <c r="H112" s="48">
        <f>IF(MONTH($A112)=12,2.333,1)*VLOOKUP($A112,'Página22'!$A$1:$S$27,COLUMN(),TRUE)</f>
        <v>1.048323331</v>
      </c>
      <c r="I112" s="48">
        <f t="shared" si="4"/>
        <v>1.12356098</v>
      </c>
      <c r="J112" s="48">
        <f>IF(MONTH($A112)=12,2.333,1)*VLOOKUP($A112,'Página22'!$A$1:$S$27,COLUMN(),TRUE)</f>
        <v>1.048323331</v>
      </c>
      <c r="K112" s="48">
        <f>IF(MONTH($A112)=12,2.333,1)*VLOOKUP($A112,'Página22'!$A$1:$S$27,COLUMN(),TRUE)</f>
        <v>1</v>
      </c>
      <c r="L112" s="48">
        <f>VLOOKUP($A112,'Página22'!$A$1:$S$27,COLUMN(),TRUE)</f>
        <v>0.8995025101</v>
      </c>
      <c r="M112" s="48">
        <f>VLOOKUP($A112,'Página22'!$A$1:$S$27,COLUMN(),TRUE)</f>
        <v>0.5018772234</v>
      </c>
      <c r="N112" s="48">
        <f>VLOOKUP($A112,'Página22'!$A$1:$S$27,COLUMN(),TRUE)</f>
        <v>0.8995000922</v>
      </c>
      <c r="O112" s="48">
        <f>VLOOKUP($A112,'Página22'!$A$1:$S$27,COLUMN(),TRUE)</f>
        <v>0.2115692088</v>
      </c>
      <c r="P112" s="48">
        <f>VLOOKUP($A112,'Página22'!$A$1:$S$27,COLUMN(),TRUE)</f>
        <v>0.9077288558</v>
      </c>
      <c r="Q112" s="48">
        <f>VLOOKUP($A112,'Página22'!$A$1:$S$27,COLUMN(),TRUE)</f>
        <v>0.5688825692</v>
      </c>
      <c r="R112" s="48">
        <f>VLOOKUP($A112,'Página22'!$A$1:$S$27,COLUMN(),TRUE)</f>
        <v>0.9077268003</v>
      </c>
      <c r="S112" s="48">
        <f>VLOOKUP($A112,'Página22'!$A$1:$S$27,COLUMN(),TRUE)</f>
        <v>0.2398156949</v>
      </c>
      <c r="T112" s="73">
        <f t="shared" si="5"/>
        <v>2025</v>
      </c>
      <c r="U112" s="73">
        <f t="shared" si="6"/>
        <v>3</v>
      </c>
    </row>
    <row r="113">
      <c r="A113" s="34">
        <v>45748.0</v>
      </c>
      <c r="B113" s="48">
        <f t="shared" si="7"/>
        <v>1.388832925</v>
      </c>
      <c r="C113" s="48">
        <f>IF(MONTH($A113)=12,2.333,1)*VLOOKUP($A113,'Página22'!$A$1:$S$27,COLUMN(),TRUE)</f>
        <v>1.052631579</v>
      </c>
      <c r="D113" s="48">
        <f t="shared" si="2"/>
        <v>1.089912428</v>
      </c>
      <c r="E113" s="48">
        <f>IF(MONTH($A113)=12,2.333,1)*VLOOKUP($A113,'Página22'!$A$1:$S$27,COLUMN(),TRUE)</f>
        <v>1.052631579</v>
      </c>
      <c r="F113" s="48">
        <f>IF(MONTH($A113)=12,2.333,1)*VLOOKUP($A113,'Página22'!$A$1:$S$27,COLUMN(),TRUE)</f>
        <v>1</v>
      </c>
      <c r="G113" s="48">
        <f t="shared" si="8"/>
        <v>1.462389499</v>
      </c>
      <c r="H113" s="48">
        <f>IF(MONTH($A113)=12,2.333,1)*VLOOKUP($A113,'Página22'!$A$1:$S$27,COLUMN(),TRUE)</f>
        <v>1.048323331</v>
      </c>
      <c r="I113" s="48">
        <f t="shared" si="4"/>
        <v>1.12356098</v>
      </c>
      <c r="J113" s="48">
        <f>IF(MONTH($A113)=12,2.333,1)*VLOOKUP($A113,'Página22'!$A$1:$S$27,COLUMN(),TRUE)</f>
        <v>1.048323331</v>
      </c>
      <c r="K113" s="48">
        <f>IF(MONTH($A113)=12,2.333,1)*VLOOKUP($A113,'Página22'!$A$1:$S$27,COLUMN(),TRUE)</f>
        <v>1</v>
      </c>
      <c r="L113" s="48">
        <f>VLOOKUP($A113,'Página22'!$A$1:$S$27,COLUMN(),TRUE)</f>
        <v>0.8995025101</v>
      </c>
      <c r="M113" s="48">
        <f>VLOOKUP($A113,'Página22'!$A$1:$S$27,COLUMN(),TRUE)</f>
        <v>0.5018772234</v>
      </c>
      <c r="N113" s="48">
        <f>VLOOKUP($A113,'Página22'!$A$1:$S$27,COLUMN(),TRUE)</f>
        <v>0.8995000922</v>
      </c>
      <c r="O113" s="48">
        <f>VLOOKUP($A113,'Página22'!$A$1:$S$27,COLUMN(),TRUE)</f>
        <v>0.2115692088</v>
      </c>
      <c r="P113" s="48">
        <f>VLOOKUP($A113,'Página22'!$A$1:$S$27,COLUMN(),TRUE)</f>
        <v>0.9077288558</v>
      </c>
      <c r="Q113" s="48">
        <f>VLOOKUP($A113,'Página22'!$A$1:$S$27,COLUMN(),TRUE)</f>
        <v>0.5688825692</v>
      </c>
      <c r="R113" s="48">
        <f>VLOOKUP($A113,'Página22'!$A$1:$S$27,COLUMN(),TRUE)</f>
        <v>0.9077268003</v>
      </c>
      <c r="S113" s="48">
        <f>VLOOKUP($A113,'Página22'!$A$1:$S$27,COLUMN(),TRUE)</f>
        <v>0.2398156949</v>
      </c>
      <c r="T113" s="73">
        <f t="shared" si="5"/>
        <v>2025</v>
      </c>
      <c r="U113" s="73">
        <f t="shared" si="6"/>
        <v>4</v>
      </c>
    </row>
    <row r="114">
      <c r="A114" s="34">
        <v>45778.0</v>
      </c>
      <c r="B114" s="48">
        <f t="shared" si="7"/>
        <v>1.388832925</v>
      </c>
      <c r="C114" s="48">
        <f>IF(MONTH($A114)=12,2.333,1)*VLOOKUP($A114,'Página22'!$A$1:$S$27,COLUMN(),TRUE)</f>
        <v>1.052631579</v>
      </c>
      <c r="D114" s="48">
        <f t="shared" si="2"/>
        <v>1.089912428</v>
      </c>
      <c r="E114" s="48">
        <f>IF(MONTH($A114)=12,2.333,1)*VLOOKUP($A114,'Página22'!$A$1:$S$27,COLUMN(),TRUE)</f>
        <v>1.052631579</v>
      </c>
      <c r="F114" s="48">
        <f>IF(MONTH($A114)=12,2.333,1)*VLOOKUP($A114,'Página22'!$A$1:$S$27,COLUMN(),TRUE)</f>
        <v>1</v>
      </c>
      <c r="G114" s="48">
        <f t="shared" si="8"/>
        <v>1.462389499</v>
      </c>
      <c r="H114" s="48">
        <f>IF(MONTH($A114)=12,2.333,1)*VLOOKUP($A114,'Página22'!$A$1:$S$27,COLUMN(),TRUE)</f>
        <v>1.048323331</v>
      </c>
      <c r="I114" s="48">
        <f t="shared" si="4"/>
        <v>1.12356098</v>
      </c>
      <c r="J114" s="48">
        <f>IF(MONTH($A114)=12,2.333,1)*VLOOKUP($A114,'Página22'!$A$1:$S$27,COLUMN(),TRUE)</f>
        <v>1.048323331</v>
      </c>
      <c r="K114" s="48">
        <f>IF(MONTH($A114)=12,2.333,1)*VLOOKUP($A114,'Página22'!$A$1:$S$27,COLUMN(),TRUE)</f>
        <v>1</v>
      </c>
      <c r="L114" s="48">
        <f>VLOOKUP($A114,'Página22'!$A$1:$S$27,COLUMN(),TRUE)</f>
        <v>0.8995025101</v>
      </c>
      <c r="M114" s="48">
        <f>VLOOKUP($A114,'Página22'!$A$1:$S$27,COLUMN(),TRUE)</f>
        <v>0.5018772234</v>
      </c>
      <c r="N114" s="48">
        <f>VLOOKUP($A114,'Página22'!$A$1:$S$27,COLUMN(),TRUE)</f>
        <v>0.8995000922</v>
      </c>
      <c r="O114" s="48">
        <f>VLOOKUP($A114,'Página22'!$A$1:$S$27,COLUMN(),TRUE)</f>
        <v>0.2115692088</v>
      </c>
      <c r="P114" s="48">
        <f>VLOOKUP($A114,'Página22'!$A$1:$S$27,COLUMN(),TRUE)</f>
        <v>0.9077288558</v>
      </c>
      <c r="Q114" s="48">
        <f>VLOOKUP($A114,'Página22'!$A$1:$S$27,COLUMN(),TRUE)</f>
        <v>0.5688825692</v>
      </c>
      <c r="R114" s="48">
        <f>VLOOKUP($A114,'Página22'!$A$1:$S$27,COLUMN(),TRUE)</f>
        <v>0.9077268003</v>
      </c>
      <c r="S114" s="48">
        <f>VLOOKUP($A114,'Página22'!$A$1:$S$27,COLUMN(),TRUE)</f>
        <v>0.2398156949</v>
      </c>
      <c r="T114" s="73">
        <f t="shared" si="5"/>
        <v>2025</v>
      </c>
      <c r="U114" s="73">
        <f t="shared" si="6"/>
        <v>5</v>
      </c>
    </row>
    <row r="115">
      <c r="A115" s="34">
        <v>45809.0</v>
      </c>
      <c r="B115" s="48">
        <f t="shared" si="7"/>
        <v>1.388832925</v>
      </c>
      <c r="C115" s="48">
        <f>IF(MONTH($A115)=12,2.333,1)*VLOOKUP($A115,'Página22'!$A$1:$S$27,COLUMN(),TRUE)</f>
        <v>1.052631579</v>
      </c>
      <c r="D115" s="48">
        <f t="shared" si="2"/>
        <v>1.089912428</v>
      </c>
      <c r="E115" s="48">
        <f>IF(MONTH($A115)=12,2.333,1)*VLOOKUP($A115,'Página22'!$A$1:$S$27,COLUMN(),TRUE)</f>
        <v>1.052631579</v>
      </c>
      <c r="F115" s="48">
        <f>IF(MONTH($A115)=12,2.333,1)*VLOOKUP($A115,'Página22'!$A$1:$S$27,COLUMN(),TRUE)</f>
        <v>1</v>
      </c>
      <c r="G115" s="48">
        <f t="shared" si="8"/>
        <v>1.462389499</v>
      </c>
      <c r="H115" s="48">
        <f>IF(MONTH($A115)=12,2.333,1)*VLOOKUP($A115,'Página22'!$A$1:$S$27,COLUMN(),TRUE)</f>
        <v>1.048323331</v>
      </c>
      <c r="I115" s="48">
        <f t="shared" si="4"/>
        <v>1.12356098</v>
      </c>
      <c r="J115" s="48">
        <f>IF(MONTH($A115)=12,2.333,1)*VLOOKUP($A115,'Página22'!$A$1:$S$27,COLUMN(),TRUE)</f>
        <v>1.048323331</v>
      </c>
      <c r="K115" s="48">
        <f>IF(MONTH($A115)=12,2.333,1)*VLOOKUP($A115,'Página22'!$A$1:$S$27,COLUMN(),TRUE)</f>
        <v>1</v>
      </c>
      <c r="L115" s="48">
        <f>VLOOKUP($A115,'Página22'!$A$1:$S$27,COLUMN(),TRUE)</f>
        <v>0.8995025101</v>
      </c>
      <c r="M115" s="48">
        <f>VLOOKUP($A115,'Página22'!$A$1:$S$27,COLUMN(),TRUE)</f>
        <v>0.5018772234</v>
      </c>
      <c r="N115" s="48">
        <f>VLOOKUP($A115,'Página22'!$A$1:$S$27,COLUMN(),TRUE)</f>
        <v>0.8995000922</v>
      </c>
      <c r="O115" s="48">
        <f>VLOOKUP($A115,'Página22'!$A$1:$S$27,COLUMN(),TRUE)</f>
        <v>0.2115692088</v>
      </c>
      <c r="P115" s="48">
        <f>VLOOKUP($A115,'Página22'!$A$1:$S$27,COLUMN(),TRUE)</f>
        <v>0.9077288558</v>
      </c>
      <c r="Q115" s="48">
        <f>VLOOKUP($A115,'Página22'!$A$1:$S$27,COLUMN(),TRUE)</f>
        <v>0.5688825692</v>
      </c>
      <c r="R115" s="48">
        <f>VLOOKUP($A115,'Página22'!$A$1:$S$27,COLUMN(),TRUE)</f>
        <v>0.9077268003</v>
      </c>
      <c r="S115" s="48">
        <f>VLOOKUP($A115,'Página22'!$A$1:$S$27,COLUMN(),TRUE)</f>
        <v>0.2398156949</v>
      </c>
      <c r="T115" s="73">
        <f t="shared" si="5"/>
        <v>2025</v>
      </c>
      <c r="U115" s="73">
        <f t="shared" si="6"/>
        <v>6</v>
      </c>
    </row>
    <row r="116">
      <c r="A116" s="34">
        <v>45839.0</v>
      </c>
      <c r="B116" s="48">
        <f t="shared" si="7"/>
        <v>1.388832925</v>
      </c>
      <c r="C116" s="48">
        <f>IF(MONTH($A116)=12,2.333,1)*VLOOKUP($A116,'Página22'!$A$1:$S$27,COLUMN(),TRUE)</f>
        <v>1.052631579</v>
      </c>
      <c r="D116" s="48">
        <f t="shared" si="2"/>
        <v>1.089912428</v>
      </c>
      <c r="E116" s="48">
        <f>IF(MONTH($A116)=12,2.333,1)*VLOOKUP($A116,'Página22'!$A$1:$S$27,COLUMN(),TRUE)</f>
        <v>1.052631579</v>
      </c>
      <c r="F116" s="48">
        <f>IF(MONTH($A116)=12,2.333,1)*VLOOKUP($A116,'Página22'!$A$1:$S$27,COLUMN(),TRUE)</f>
        <v>1</v>
      </c>
      <c r="G116" s="48">
        <f t="shared" si="8"/>
        <v>1.462389499</v>
      </c>
      <c r="H116" s="48">
        <f>IF(MONTH($A116)=12,2.333,1)*VLOOKUP($A116,'Página22'!$A$1:$S$27,COLUMN(),TRUE)</f>
        <v>1.048323331</v>
      </c>
      <c r="I116" s="48">
        <f t="shared" si="4"/>
        <v>1.12356098</v>
      </c>
      <c r="J116" s="48">
        <f>IF(MONTH($A116)=12,2.333,1)*VLOOKUP($A116,'Página22'!$A$1:$S$27,COLUMN(),TRUE)</f>
        <v>1.048323331</v>
      </c>
      <c r="K116" s="48">
        <f>IF(MONTH($A116)=12,2.333,1)*VLOOKUP($A116,'Página22'!$A$1:$S$27,COLUMN(),TRUE)</f>
        <v>1</v>
      </c>
      <c r="L116" s="48">
        <f>VLOOKUP($A116,'Página22'!$A$1:$S$27,COLUMN(),TRUE)</f>
        <v>0.8995025101</v>
      </c>
      <c r="M116" s="48">
        <f>VLOOKUP($A116,'Página22'!$A$1:$S$27,COLUMN(),TRUE)</f>
        <v>0.5018772234</v>
      </c>
      <c r="N116" s="48">
        <f>VLOOKUP($A116,'Página22'!$A$1:$S$27,COLUMN(),TRUE)</f>
        <v>0.8995000922</v>
      </c>
      <c r="O116" s="48">
        <f>VLOOKUP($A116,'Página22'!$A$1:$S$27,COLUMN(),TRUE)</f>
        <v>0.2115692088</v>
      </c>
      <c r="P116" s="48">
        <f>VLOOKUP($A116,'Página22'!$A$1:$S$27,COLUMN(),TRUE)</f>
        <v>0.9077288558</v>
      </c>
      <c r="Q116" s="48">
        <f>VLOOKUP($A116,'Página22'!$A$1:$S$27,COLUMN(),TRUE)</f>
        <v>0.5688825692</v>
      </c>
      <c r="R116" s="48">
        <f>VLOOKUP($A116,'Página22'!$A$1:$S$27,COLUMN(),TRUE)</f>
        <v>0.9077268003</v>
      </c>
      <c r="S116" s="48">
        <f>VLOOKUP($A116,'Página22'!$A$1:$S$27,COLUMN(),TRUE)</f>
        <v>0.2398156949</v>
      </c>
      <c r="T116" s="73">
        <f t="shared" si="5"/>
        <v>2025</v>
      </c>
      <c r="U116" s="73">
        <f t="shared" si="6"/>
        <v>7</v>
      </c>
    </row>
    <row r="117">
      <c r="A117" s="34">
        <v>45870.0</v>
      </c>
      <c r="B117" s="48">
        <f t="shared" si="7"/>
        <v>1.388832925</v>
      </c>
      <c r="C117" s="48">
        <f>IF(MONTH($A117)=12,2.333,1)*VLOOKUP($A117,'Página22'!$A$1:$S$27,COLUMN(),TRUE)</f>
        <v>1.052631579</v>
      </c>
      <c r="D117" s="48">
        <f t="shared" si="2"/>
        <v>1.089912428</v>
      </c>
      <c r="E117" s="48">
        <f>IF(MONTH($A117)=12,2.333,1)*VLOOKUP($A117,'Página22'!$A$1:$S$27,COLUMN(),TRUE)</f>
        <v>1.052631579</v>
      </c>
      <c r="F117" s="48">
        <f>IF(MONTH($A117)=12,2.333,1)*VLOOKUP($A117,'Página22'!$A$1:$S$27,COLUMN(),TRUE)</f>
        <v>1</v>
      </c>
      <c r="G117" s="48">
        <f t="shared" si="8"/>
        <v>1.462389499</v>
      </c>
      <c r="H117" s="48">
        <f>IF(MONTH($A117)=12,2.333,1)*VLOOKUP($A117,'Página22'!$A$1:$S$27,COLUMN(),TRUE)</f>
        <v>1.048323331</v>
      </c>
      <c r="I117" s="48">
        <f t="shared" si="4"/>
        <v>1.12356098</v>
      </c>
      <c r="J117" s="48">
        <f>IF(MONTH($A117)=12,2.333,1)*VLOOKUP($A117,'Página22'!$A$1:$S$27,COLUMN(),TRUE)</f>
        <v>1.048323331</v>
      </c>
      <c r="K117" s="48">
        <f>IF(MONTH($A117)=12,2.333,1)*VLOOKUP($A117,'Página22'!$A$1:$S$27,COLUMN(),TRUE)</f>
        <v>1</v>
      </c>
      <c r="L117" s="48">
        <f>VLOOKUP($A117,'Página22'!$A$1:$S$27,COLUMN(),TRUE)</f>
        <v>0.8995025101</v>
      </c>
      <c r="M117" s="48">
        <f>VLOOKUP($A117,'Página22'!$A$1:$S$27,COLUMN(),TRUE)</f>
        <v>0.5018772234</v>
      </c>
      <c r="N117" s="48">
        <f>VLOOKUP($A117,'Página22'!$A$1:$S$27,COLUMN(),TRUE)</f>
        <v>0.8995000922</v>
      </c>
      <c r="O117" s="48">
        <f>VLOOKUP($A117,'Página22'!$A$1:$S$27,COLUMN(),TRUE)</f>
        <v>0.2115692088</v>
      </c>
      <c r="P117" s="48">
        <f>VLOOKUP($A117,'Página22'!$A$1:$S$27,COLUMN(),TRUE)</f>
        <v>0.9077288558</v>
      </c>
      <c r="Q117" s="48">
        <f>VLOOKUP($A117,'Página22'!$A$1:$S$27,COLUMN(),TRUE)</f>
        <v>0.5688825692</v>
      </c>
      <c r="R117" s="48">
        <f>VLOOKUP($A117,'Página22'!$A$1:$S$27,COLUMN(),TRUE)</f>
        <v>0.9077268003</v>
      </c>
      <c r="S117" s="48">
        <f>VLOOKUP($A117,'Página22'!$A$1:$S$27,COLUMN(),TRUE)</f>
        <v>0.2398156949</v>
      </c>
      <c r="T117" s="73">
        <f t="shared" si="5"/>
        <v>2025</v>
      </c>
      <c r="U117" s="73">
        <f t="shared" si="6"/>
        <v>8</v>
      </c>
    </row>
    <row r="118">
      <c r="A118" s="34">
        <v>45901.0</v>
      </c>
      <c r="B118" s="48">
        <f t="shared" si="7"/>
        <v>1.388832925</v>
      </c>
      <c r="C118" s="48">
        <f>IF(MONTH($A118)=12,2.333,1)*VLOOKUP($A118,'Página22'!$A$1:$S$27,COLUMN(),TRUE)</f>
        <v>1.052631579</v>
      </c>
      <c r="D118" s="48">
        <f t="shared" si="2"/>
        <v>1.089912428</v>
      </c>
      <c r="E118" s="48">
        <f>IF(MONTH($A118)=12,2.333,1)*VLOOKUP($A118,'Página22'!$A$1:$S$27,COLUMN(),TRUE)</f>
        <v>1.052631579</v>
      </c>
      <c r="F118" s="48">
        <f>IF(MONTH($A118)=12,2.333,1)*VLOOKUP($A118,'Página22'!$A$1:$S$27,COLUMN(),TRUE)</f>
        <v>1</v>
      </c>
      <c r="G118" s="48">
        <f t="shared" si="8"/>
        <v>1.462389499</v>
      </c>
      <c r="H118" s="48">
        <f>IF(MONTH($A118)=12,2.333,1)*VLOOKUP($A118,'Página22'!$A$1:$S$27,COLUMN(),TRUE)</f>
        <v>1.048323331</v>
      </c>
      <c r="I118" s="48">
        <f t="shared" si="4"/>
        <v>1.12356098</v>
      </c>
      <c r="J118" s="48">
        <f>IF(MONTH($A118)=12,2.333,1)*VLOOKUP($A118,'Página22'!$A$1:$S$27,COLUMN(),TRUE)</f>
        <v>1.048323331</v>
      </c>
      <c r="K118" s="48">
        <f>IF(MONTH($A118)=12,2.333,1)*VLOOKUP($A118,'Página22'!$A$1:$S$27,COLUMN(),TRUE)</f>
        <v>1</v>
      </c>
      <c r="L118" s="48">
        <f>VLOOKUP($A118,'Página22'!$A$1:$S$27,COLUMN(),TRUE)</f>
        <v>0.8995025101</v>
      </c>
      <c r="M118" s="48">
        <f>VLOOKUP($A118,'Página22'!$A$1:$S$27,COLUMN(),TRUE)</f>
        <v>0.5018772234</v>
      </c>
      <c r="N118" s="48">
        <f>VLOOKUP($A118,'Página22'!$A$1:$S$27,COLUMN(),TRUE)</f>
        <v>0.8995000922</v>
      </c>
      <c r="O118" s="48">
        <f>VLOOKUP($A118,'Página22'!$A$1:$S$27,COLUMN(),TRUE)</f>
        <v>0.2115692088</v>
      </c>
      <c r="P118" s="48">
        <f>VLOOKUP($A118,'Página22'!$A$1:$S$27,COLUMN(),TRUE)</f>
        <v>0.9077288558</v>
      </c>
      <c r="Q118" s="48">
        <f>VLOOKUP($A118,'Página22'!$A$1:$S$27,COLUMN(),TRUE)</f>
        <v>0.5688825692</v>
      </c>
      <c r="R118" s="48">
        <f>VLOOKUP($A118,'Página22'!$A$1:$S$27,COLUMN(),TRUE)</f>
        <v>0.9077268003</v>
      </c>
      <c r="S118" s="48">
        <f>VLOOKUP($A118,'Página22'!$A$1:$S$27,COLUMN(),TRUE)</f>
        <v>0.2398156949</v>
      </c>
      <c r="T118" s="73">
        <f t="shared" si="5"/>
        <v>2025</v>
      </c>
      <c r="U118" s="73">
        <f t="shared" si="6"/>
        <v>9</v>
      </c>
    </row>
    <row r="119">
      <c r="A119" s="34">
        <v>45931.0</v>
      </c>
      <c r="B119" s="48">
        <f t="shared" si="7"/>
        <v>1.388832925</v>
      </c>
      <c r="C119" s="48">
        <f>IF(MONTH($A119)=12,2.333,1)*VLOOKUP($A119,'Página22'!$A$1:$S$27,COLUMN(),TRUE)</f>
        <v>1.052631579</v>
      </c>
      <c r="D119" s="48">
        <f t="shared" si="2"/>
        <v>1.089912428</v>
      </c>
      <c r="E119" s="48">
        <f>IF(MONTH($A119)=12,2.333,1)*VLOOKUP($A119,'Página22'!$A$1:$S$27,COLUMN(),TRUE)</f>
        <v>1.052631579</v>
      </c>
      <c r="F119" s="48">
        <f>IF(MONTH($A119)=12,2.333,1)*VLOOKUP($A119,'Página22'!$A$1:$S$27,COLUMN(),TRUE)</f>
        <v>1</v>
      </c>
      <c r="G119" s="48">
        <f t="shared" si="8"/>
        <v>1.462389499</v>
      </c>
      <c r="H119" s="48">
        <f>IF(MONTH($A119)=12,2.333,1)*VLOOKUP($A119,'Página22'!$A$1:$S$27,COLUMN(),TRUE)</f>
        <v>1.048323331</v>
      </c>
      <c r="I119" s="48">
        <f t="shared" si="4"/>
        <v>1.12356098</v>
      </c>
      <c r="J119" s="48">
        <f>IF(MONTH($A119)=12,2.333,1)*VLOOKUP($A119,'Página22'!$A$1:$S$27,COLUMN(),TRUE)</f>
        <v>1.048323331</v>
      </c>
      <c r="K119" s="48">
        <f>IF(MONTH($A119)=12,2.333,1)*VLOOKUP($A119,'Página22'!$A$1:$S$27,COLUMN(),TRUE)</f>
        <v>1</v>
      </c>
      <c r="L119" s="48">
        <f>VLOOKUP($A119,'Página22'!$A$1:$S$27,COLUMN(),TRUE)</f>
        <v>0.8995025101</v>
      </c>
      <c r="M119" s="48">
        <f>VLOOKUP($A119,'Página22'!$A$1:$S$27,COLUMN(),TRUE)</f>
        <v>0.5018772234</v>
      </c>
      <c r="N119" s="48">
        <f>VLOOKUP($A119,'Página22'!$A$1:$S$27,COLUMN(),TRUE)</f>
        <v>0.8995000922</v>
      </c>
      <c r="O119" s="48">
        <f>VLOOKUP($A119,'Página22'!$A$1:$S$27,COLUMN(),TRUE)</f>
        <v>0.2115692088</v>
      </c>
      <c r="P119" s="48">
        <f>VLOOKUP($A119,'Página22'!$A$1:$S$27,COLUMN(),TRUE)</f>
        <v>0.9077288558</v>
      </c>
      <c r="Q119" s="48">
        <f>VLOOKUP($A119,'Página22'!$A$1:$S$27,COLUMN(),TRUE)</f>
        <v>0.5688825692</v>
      </c>
      <c r="R119" s="48">
        <f>VLOOKUP($A119,'Página22'!$A$1:$S$27,COLUMN(),TRUE)</f>
        <v>0.9077268003</v>
      </c>
      <c r="S119" s="48">
        <f>VLOOKUP($A119,'Página22'!$A$1:$S$27,COLUMN(),TRUE)</f>
        <v>0.2398156949</v>
      </c>
      <c r="T119" s="73">
        <f t="shared" si="5"/>
        <v>2025</v>
      </c>
      <c r="U119" s="73">
        <f t="shared" si="6"/>
        <v>10</v>
      </c>
    </row>
    <row r="120">
      <c r="A120" s="34">
        <v>45962.0</v>
      </c>
      <c r="B120" s="48">
        <f t="shared" si="7"/>
        <v>1.388832925</v>
      </c>
      <c r="C120" s="48">
        <f>IF(MONTH($A120)=12,2.333,1)*VLOOKUP($A120,'Página22'!$A$1:$S$27,COLUMN(),TRUE)</f>
        <v>1.052631579</v>
      </c>
      <c r="D120" s="48">
        <f t="shared" si="2"/>
        <v>1.089912428</v>
      </c>
      <c r="E120" s="48">
        <f>IF(MONTH($A120)=12,2.333,1)*VLOOKUP($A120,'Página22'!$A$1:$S$27,COLUMN(),TRUE)</f>
        <v>1.052631579</v>
      </c>
      <c r="F120" s="48">
        <f>IF(MONTH($A120)=12,2.333,1)*VLOOKUP($A120,'Página22'!$A$1:$S$27,COLUMN(),TRUE)</f>
        <v>1</v>
      </c>
      <c r="G120" s="48">
        <f t="shared" si="8"/>
        <v>1.462389499</v>
      </c>
      <c r="H120" s="48">
        <f>IF(MONTH($A120)=12,2.333,1)*VLOOKUP($A120,'Página22'!$A$1:$S$27,COLUMN(),TRUE)</f>
        <v>1.048323331</v>
      </c>
      <c r="I120" s="48">
        <f t="shared" si="4"/>
        <v>1.12356098</v>
      </c>
      <c r="J120" s="48">
        <f>IF(MONTH($A120)=12,2.333,1)*VLOOKUP($A120,'Página22'!$A$1:$S$27,COLUMN(),TRUE)</f>
        <v>1.048323331</v>
      </c>
      <c r="K120" s="48">
        <f>IF(MONTH($A120)=12,2.333,1)*VLOOKUP($A120,'Página22'!$A$1:$S$27,COLUMN(),TRUE)</f>
        <v>1</v>
      </c>
      <c r="L120" s="48">
        <f>VLOOKUP($A120,'Página22'!$A$1:$S$27,COLUMN(),TRUE)</f>
        <v>0.8995025101</v>
      </c>
      <c r="M120" s="48">
        <f>VLOOKUP($A120,'Página22'!$A$1:$S$27,COLUMN(),TRUE)</f>
        <v>0.5018772234</v>
      </c>
      <c r="N120" s="48">
        <f>VLOOKUP($A120,'Página22'!$A$1:$S$27,COLUMN(),TRUE)</f>
        <v>0.8995000922</v>
      </c>
      <c r="O120" s="48">
        <f>VLOOKUP($A120,'Página22'!$A$1:$S$27,COLUMN(),TRUE)</f>
        <v>0.2115692088</v>
      </c>
      <c r="P120" s="48">
        <f>VLOOKUP($A120,'Página22'!$A$1:$S$27,COLUMN(),TRUE)</f>
        <v>0.9077288558</v>
      </c>
      <c r="Q120" s="48">
        <f>VLOOKUP($A120,'Página22'!$A$1:$S$27,COLUMN(),TRUE)</f>
        <v>0.5688825692</v>
      </c>
      <c r="R120" s="48">
        <f>VLOOKUP($A120,'Página22'!$A$1:$S$27,COLUMN(),TRUE)</f>
        <v>0.9077268003</v>
      </c>
      <c r="S120" s="48">
        <f>VLOOKUP($A120,'Página22'!$A$1:$S$27,COLUMN(),TRUE)</f>
        <v>0.2398156949</v>
      </c>
      <c r="T120" s="73">
        <f t="shared" si="5"/>
        <v>2025</v>
      </c>
      <c r="U120" s="73">
        <f t="shared" si="6"/>
        <v>11</v>
      </c>
    </row>
    <row r="121">
      <c r="A121" s="34">
        <v>45992.0</v>
      </c>
      <c r="B121" s="48">
        <f t="shared" si="7"/>
        <v>3.240147215</v>
      </c>
      <c r="C121" s="48">
        <f>IF(MONTH($A121)=12,2.333,1)*VLOOKUP($A121,'Página22'!$A$1:$S$27,COLUMN(),TRUE)</f>
        <v>2.455789474</v>
      </c>
      <c r="D121" s="48">
        <f t="shared" si="2"/>
        <v>2.542765694</v>
      </c>
      <c r="E121" s="48">
        <f>IF(MONTH($A121)=12,2.333,1)*VLOOKUP($A121,'Página22'!$A$1:$S$27,COLUMN(),TRUE)</f>
        <v>2.455789474</v>
      </c>
      <c r="F121" s="48">
        <f>IF(MONTH($A121)=12,2.333,1)*VLOOKUP($A121,'Página22'!$A$1:$S$27,COLUMN(),TRUE)</f>
        <v>2.333</v>
      </c>
      <c r="G121" s="48">
        <f t="shared" si="8"/>
        <v>3.411754702</v>
      </c>
      <c r="H121" s="48">
        <f>IF(MONTH($A121)=12,2.333,1)*VLOOKUP($A121,'Página22'!$A$1:$S$27,COLUMN(),TRUE)</f>
        <v>2.445738332</v>
      </c>
      <c r="I121" s="48">
        <f t="shared" si="4"/>
        <v>2.621267765</v>
      </c>
      <c r="J121" s="48">
        <f>IF(MONTH($A121)=12,2.333,1)*VLOOKUP($A121,'Página22'!$A$1:$S$27,COLUMN(),TRUE)</f>
        <v>2.445738332</v>
      </c>
      <c r="K121" s="48">
        <f>IF(MONTH($A121)=12,2.333,1)*VLOOKUP($A121,'Página22'!$A$1:$S$27,COLUMN(),TRUE)</f>
        <v>2.333</v>
      </c>
      <c r="L121" s="48">
        <f>VLOOKUP($A121,'Página22'!$A$1:$S$27,COLUMN(),TRUE)</f>
        <v>0.8995025101</v>
      </c>
      <c r="M121" s="48">
        <f>VLOOKUP($A121,'Página22'!$A$1:$S$27,COLUMN(),TRUE)</f>
        <v>0.5018772234</v>
      </c>
      <c r="N121" s="48">
        <f>VLOOKUP($A121,'Página22'!$A$1:$S$27,COLUMN(),TRUE)</f>
        <v>0.8995000922</v>
      </c>
      <c r="O121" s="48">
        <f>VLOOKUP($A121,'Página22'!$A$1:$S$27,COLUMN(),TRUE)</f>
        <v>0.2115692088</v>
      </c>
      <c r="P121" s="48">
        <f>VLOOKUP($A121,'Página22'!$A$1:$S$27,COLUMN(),TRUE)</f>
        <v>0.9077288558</v>
      </c>
      <c r="Q121" s="48">
        <f>VLOOKUP($A121,'Página22'!$A$1:$S$27,COLUMN(),TRUE)</f>
        <v>0.5688825692</v>
      </c>
      <c r="R121" s="48">
        <f>VLOOKUP($A121,'Página22'!$A$1:$S$27,COLUMN(),TRUE)</f>
        <v>0.9077268003</v>
      </c>
      <c r="S121" s="48">
        <f>VLOOKUP($A121,'Página22'!$A$1:$S$27,COLUMN(),TRUE)</f>
        <v>0.2398156949</v>
      </c>
      <c r="T121" s="73">
        <f t="shared" si="5"/>
        <v>2025</v>
      </c>
      <c r="U121" s="73">
        <f t="shared" si="6"/>
        <v>12</v>
      </c>
    </row>
    <row r="122">
      <c r="A122" s="34">
        <v>46023.0</v>
      </c>
      <c r="B122" s="48">
        <f t="shared" si="7"/>
        <v>1.388832925</v>
      </c>
      <c r="C122" s="48">
        <f>IF(MONTH($A122)=12,2.333,1)*VLOOKUP($A122,'Página22'!$A$1:$S$27,COLUMN(),TRUE)</f>
        <v>1.052631579</v>
      </c>
      <c r="D122" s="48">
        <f t="shared" si="2"/>
        <v>1.089912428</v>
      </c>
      <c r="E122" s="48">
        <f>IF(MONTH($A122)=12,2.333,1)*VLOOKUP($A122,'Página22'!$A$1:$S$27,COLUMN(),TRUE)</f>
        <v>1.052631579</v>
      </c>
      <c r="F122" s="48">
        <f>IF(MONTH($A122)=12,2.333,1)*VLOOKUP($A122,'Página22'!$A$1:$S$27,COLUMN(),TRUE)</f>
        <v>1</v>
      </c>
      <c r="G122" s="48">
        <f t="shared" si="8"/>
        <v>1.462389499</v>
      </c>
      <c r="H122" s="48">
        <f>IF(MONTH($A122)=12,2.333,1)*VLOOKUP($A122,'Página22'!$A$1:$S$27,COLUMN(),TRUE)</f>
        <v>1.048323331</v>
      </c>
      <c r="I122" s="48">
        <f t="shared" si="4"/>
        <v>1.12356098</v>
      </c>
      <c r="J122" s="48">
        <f>IF(MONTH($A122)=12,2.333,1)*VLOOKUP($A122,'Página22'!$A$1:$S$27,COLUMN(),TRUE)</f>
        <v>1.048323331</v>
      </c>
      <c r="K122" s="48">
        <f>IF(MONTH($A122)=12,2.333,1)*VLOOKUP($A122,'Página22'!$A$1:$S$27,COLUMN(),TRUE)</f>
        <v>1</v>
      </c>
      <c r="L122" s="48">
        <f>VLOOKUP($A122,'Página22'!$A$1:$S$27,COLUMN(),TRUE)</f>
        <v>0.8995025101</v>
      </c>
      <c r="M122" s="48">
        <f>VLOOKUP($A122,'Página22'!$A$1:$S$27,COLUMN(),TRUE)</f>
        <v>0.5018772234</v>
      </c>
      <c r="N122" s="48">
        <f>VLOOKUP($A122,'Página22'!$A$1:$S$27,COLUMN(),TRUE)</f>
        <v>0.8995000922</v>
      </c>
      <c r="O122" s="48">
        <f>VLOOKUP($A122,'Página22'!$A$1:$S$27,COLUMN(),TRUE)</f>
        <v>0.2115692088</v>
      </c>
      <c r="P122" s="48">
        <f>VLOOKUP($A122,'Página22'!$A$1:$S$27,COLUMN(),TRUE)</f>
        <v>0.9077288558</v>
      </c>
      <c r="Q122" s="48">
        <f>VLOOKUP($A122,'Página22'!$A$1:$S$27,COLUMN(),TRUE)</f>
        <v>0.5688825692</v>
      </c>
      <c r="R122" s="48">
        <f>VLOOKUP($A122,'Página22'!$A$1:$S$27,COLUMN(),TRUE)</f>
        <v>0.9077268003</v>
      </c>
      <c r="S122" s="48">
        <f>VLOOKUP($A122,'Página22'!$A$1:$S$27,COLUMN(),TRUE)</f>
        <v>0.2398156949</v>
      </c>
      <c r="T122" s="73">
        <f t="shared" si="5"/>
        <v>2026</v>
      </c>
      <c r="U122" s="73">
        <f t="shared" si="6"/>
        <v>1</v>
      </c>
    </row>
    <row r="123">
      <c r="A123" s="34">
        <v>46054.0</v>
      </c>
      <c r="B123" s="48">
        <f t="shared" si="7"/>
        <v>1.388832925</v>
      </c>
      <c r="C123" s="48">
        <f>IF(MONTH($A123)=12,2.333,1)*VLOOKUP($A123,'Página22'!$A$1:$S$27,COLUMN(),TRUE)</f>
        <v>1.052631579</v>
      </c>
      <c r="D123" s="48">
        <f t="shared" si="2"/>
        <v>1.089912428</v>
      </c>
      <c r="E123" s="48">
        <f>IF(MONTH($A123)=12,2.333,1)*VLOOKUP($A123,'Página22'!$A$1:$S$27,COLUMN(),TRUE)</f>
        <v>1.052631579</v>
      </c>
      <c r="F123" s="48">
        <f>IF(MONTH($A123)=12,2.333,1)*VLOOKUP($A123,'Página22'!$A$1:$S$27,COLUMN(),TRUE)</f>
        <v>1</v>
      </c>
      <c r="G123" s="48">
        <f t="shared" si="8"/>
        <v>1.462389499</v>
      </c>
      <c r="H123" s="48">
        <f>IF(MONTH($A123)=12,2.333,1)*VLOOKUP($A123,'Página22'!$A$1:$S$27,COLUMN(),TRUE)</f>
        <v>1.048323331</v>
      </c>
      <c r="I123" s="48">
        <f t="shared" si="4"/>
        <v>1.12356098</v>
      </c>
      <c r="J123" s="48">
        <f>IF(MONTH($A123)=12,2.333,1)*VLOOKUP($A123,'Página22'!$A$1:$S$27,COLUMN(),TRUE)</f>
        <v>1.048323331</v>
      </c>
      <c r="K123" s="48">
        <f>IF(MONTH($A123)=12,2.333,1)*VLOOKUP($A123,'Página22'!$A$1:$S$27,COLUMN(),TRUE)</f>
        <v>1</v>
      </c>
      <c r="L123" s="48">
        <f>VLOOKUP($A123,'Página22'!$A$1:$S$27,COLUMN(),TRUE)</f>
        <v>0.8995025101</v>
      </c>
      <c r="M123" s="48">
        <f>VLOOKUP($A123,'Página22'!$A$1:$S$27,COLUMN(),TRUE)</f>
        <v>0.5018772234</v>
      </c>
      <c r="N123" s="48">
        <f>VLOOKUP($A123,'Página22'!$A$1:$S$27,COLUMN(),TRUE)</f>
        <v>0.8995000922</v>
      </c>
      <c r="O123" s="48">
        <f>VLOOKUP($A123,'Página22'!$A$1:$S$27,COLUMN(),TRUE)</f>
        <v>0.2115692088</v>
      </c>
      <c r="P123" s="48">
        <f>VLOOKUP($A123,'Página22'!$A$1:$S$27,COLUMN(),TRUE)</f>
        <v>0.9077288558</v>
      </c>
      <c r="Q123" s="48">
        <f>VLOOKUP($A123,'Página22'!$A$1:$S$27,COLUMN(),TRUE)</f>
        <v>0.5688825692</v>
      </c>
      <c r="R123" s="48">
        <f>VLOOKUP($A123,'Página22'!$A$1:$S$27,COLUMN(),TRUE)</f>
        <v>0.9077268003</v>
      </c>
      <c r="S123" s="48">
        <f>VLOOKUP($A123,'Página22'!$A$1:$S$27,COLUMN(),TRUE)</f>
        <v>0.2398156949</v>
      </c>
      <c r="T123" s="73">
        <f t="shared" si="5"/>
        <v>2026</v>
      </c>
      <c r="U123" s="73">
        <f t="shared" si="6"/>
        <v>2</v>
      </c>
    </row>
    <row r="124">
      <c r="A124" s="34">
        <v>46082.0</v>
      </c>
      <c r="B124" s="48">
        <f t="shared" si="7"/>
        <v>1.388832925</v>
      </c>
      <c r="C124" s="48">
        <f>IF(MONTH($A124)=12,2.333,1)*VLOOKUP($A124,'Página22'!$A$1:$S$27,COLUMN(),TRUE)</f>
        <v>1.052631579</v>
      </c>
      <c r="D124" s="48">
        <f t="shared" si="2"/>
        <v>1.089912428</v>
      </c>
      <c r="E124" s="48">
        <f>IF(MONTH($A124)=12,2.333,1)*VLOOKUP($A124,'Página22'!$A$1:$S$27,COLUMN(),TRUE)</f>
        <v>1.052631579</v>
      </c>
      <c r="F124" s="48">
        <f>IF(MONTH($A124)=12,2.333,1)*VLOOKUP($A124,'Página22'!$A$1:$S$27,COLUMN(),TRUE)</f>
        <v>1</v>
      </c>
      <c r="G124" s="48">
        <f t="shared" si="8"/>
        <v>1.462389499</v>
      </c>
      <c r="H124" s="48">
        <f>IF(MONTH($A124)=12,2.333,1)*VLOOKUP($A124,'Página22'!$A$1:$S$27,COLUMN(),TRUE)</f>
        <v>1.048323331</v>
      </c>
      <c r="I124" s="48">
        <f t="shared" si="4"/>
        <v>1.12356098</v>
      </c>
      <c r="J124" s="48">
        <f>IF(MONTH($A124)=12,2.333,1)*VLOOKUP($A124,'Página22'!$A$1:$S$27,COLUMN(),TRUE)</f>
        <v>1.048323331</v>
      </c>
      <c r="K124" s="48">
        <f>IF(MONTH($A124)=12,2.333,1)*VLOOKUP($A124,'Página22'!$A$1:$S$27,COLUMN(),TRUE)</f>
        <v>1</v>
      </c>
      <c r="L124" s="48">
        <f>VLOOKUP($A124,'Página22'!$A$1:$S$27,COLUMN(),TRUE)</f>
        <v>0.8995025101</v>
      </c>
      <c r="M124" s="48">
        <f>VLOOKUP($A124,'Página22'!$A$1:$S$27,COLUMN(),TRUE)</f>
        <v>0.5018772234</v>
      </c>
      <c r="N124" s="48">
        <f>VLOOKUP($A124,'Página22'!$A$1:$S$27,COLUMN(),TRUE)</f>
        <v>0.8995000922</v>
      </c>
      <c r="O124" s="48">
        <f>VLOOKUP($A124,'Página22'!$A$1:$S$27,COLUMN(),TRUE)</f>
        <v>0.2115692088</v>
      </c>
      <c r="P124" s="48">
        <f>VLOOKUP($A124,'Página22'!$A$1:$S$27,COLUMN(),TRUE)</f>
        <v>0.9077288558</v>
      </c>
      <c r="Q124" s="48">
        <f>VLOOKUP($A124,'Página22'!$A$1:$S$27,COLUMN(),TRUE)</f>
        <v>0.5688825692</v>
      </c>
      <c r="R124" s="48">
        <f>VLOOKUP($A124,'Página22'!$A$1:$S$27,COLUMN(),TRUE)</f>
        <v>0.9077268003</v>
      </c>
      <c r="S124" s="48">
        <f>VLOOKUP($A124,'Página22'!$A$1:$S$27,COLUMN(),TRUE)</f>
        <v>0.2398156949</v>
      </c>
      <c r="T124" s="73">
        <f t="shared" si="5"/>
        <v>2026</v>
      </c>
      <c r="U124" s="73">
        <f t="shared" si="6"/>
        <v>3</v>
      </c>
    </row>
    <row r="125">
      <c r="A125" s="34">
        <v>46113.0</v>
      </c>
      <c r="B125" s="48">
        <f t="shared" si="7"/>
        <v>1.252277349</v>
      </c>
      <c r="C125" s="48">
        <f>IF(MONTH($A125)=12,2.333,1)*VLOOKUP($A125,'Página22'!$A$1:$S$27,COLUMN(),TRUE)</f>
        <v>1.052631579</v>
      </c>
      <c r="D125" s="48">
        <f t="shared" si="2"/>
        <v>1.093120199</v>
      </c>
      <c r="E125" s="48">
        <f>IF(MONTH($A125)=12,2.333,1)*VLOOKUP($A125,'Página22'!$A$1:$S$27,COLUMN(),TRUE)</f>
        <v>1.052631579</v>
      </c>
      <c r="F125" s="48">
        <f>IF(MONTH($A125)=12,2.333,1)*VLOOKUP($A125,'Página22'!$A$1:$S$27,COLUMN(),TRUE)</f>
        <v>1</v>
      </c>
      <c r="G125" s="48">
        <f t="shared" si="8"/>
        <v>1.329300436</v>
      </c>
      <c r="H125" s="48">
        <f>IF(MONTH($A125)=12,2.333,1)*VLOOKUP($A125,'Página22'!$A$1:$S$27,COLUMN(),TRUE)</f>
        <v>1.048715383</v>
      </c>
      <c r="I125" s="48">
        <f t="shared" si="4"/>
        <v>1.147431146</v>
      </c>
      <c r="J125" s="48">
        <f>IF(MONTH($A125)=12,2.333,1)*VLOOKUP($A125,'Página22'!$A$1:$S$27,COLUMN(),TRUE)</f>
        <v>1.048715383</v>
      </c>
      <c r="K125" s="48">
        <f>IF(MONTH($A125)=12,2.333,1)*VLOOKUP($A125,'Página22'!$A$1:$S$27,COLUMN(),TRUE)</f>
        <v>1</v>
      </c>
      <c r="L125" s="48">
        <f>VLOOKUP($A125,'Página22'!$A$1:$S$27,COLUMN(),TRUE)</f>
        <v>0.8110598463</v>
      </c>
      <c r="M125" s="48">
        <f>VLOOKUP($A125,'Página22'!$A$1:$S$27,COLUMN(),TRUE)</f>
        <v>0.452530659</v>
      </c>
      <c r="N125" s="48">
        <f>VLOOKUP($A125,'Página22'!$A$1:$S$27,COLUMN(),TRUE)</f>
        <v>0.8110576661</v>
      </c>
      <c r="O125" s="48">
        <f>VLOOKUP($A125,'Página22'!$A$1:$S$27,COLUMN(),TRUE)</f>
        <v>0.3134027361</v>
      </c>
      <c r="P125" s="48">
        <f>VLOOKUP($A125,'Página22'!$A$1:$S$27,COLUMN(),TRUE)</f>
        <v>0.8251183179</v>
      </c>
      <c r="Q125" s="48">
        <f>VLOOKUP($A125,'Página22'!$A$1:$S$27,COLUMN(),TRUE)</f>
        <v>0.5171097355</v>
      </c>
      <c r="R125" s="48">
        <f>VLOOKUP($A125,'Página22'!$A$1:$S$27,COLUMN(),TRUE)</f>
        <v>0.8251164494</v>
      </c>
      <c r="S125" s="48">
        <f>VLOOKUP($A125,'Página22'!$A$1:$S$27,COLUMN(),TRUE)</f>
        <v>0.3581273507</v>
      </c>
      <c r="T125" s="73">
        <f t="shared" si="5"/>
        <v>2026</v>
      </c>
      <c r="U125" s="73">
        <f t="shared" si="6"/>
        <v>4</v>
      </c>
    </row>
    <row r="126">
      <c r="A126" s="34">
        <v>46143.0</v>
      </c>
      <c r="B126" s="48">
        <f t="shared" si="7"/>
        <v>1.252277349</v>
      </c>
      <c r="C126" s="48">
        <f>IF(MONTH($A126)=12,2.333,1)*VLOOKUP($A126,'Página22'!$A$1:$S$27,COLUMN(),TRUE)</f>
        <v>1.052631579</v>
      </c>
      <c r="D126" s="48">
        <f t="shared" si="2"/>
        <v>1.093120199</v>
      </c>
      <c r="E126" s="48">
        <f>IF(MONTH($A126)=12,2.333,1)*VLOOKUP($A126,'Página22'!$A$1:$S$27,COLUMN(),TRUE)</f>
        <v>1.052631579</v>
      </c>
      <c r="F126" s="48">
        <f>IF(MONTH($A126)=12,2.333,1)*VLOOKUP($A126,'Página22'!$A$1:$S$27,COLUMN(),TRUE)</f>
        <v>1</v>
      </c>
      <c r="G126" s="48">
        <f t="shared" si="8"/>
        <v>1.329300436</v>
      </c>
      <c r="H126" s="48">
        <f>IF(MONTH($A126)=12,2.333,1)*VLOOKUP($A126,'Página22'!$A$1:$S$27,COLUMN(),TRUE)</f>
        <v>1.048715383</v>
      </c>
      <c r="I126" s="48">
        <f t="shared" si="4"/>
        <v>1.147431146</v>
      </c>
      <c r="J126" s="48">
        <f>IF(MONTH($A126)=12,2.333,1)*VLOOKUP($A126,'Página22'!$A$1:$S$27,COLUMN(),TRUE)</f>
        <v>1.048715383</v>
      </c>
      <c r="K126" s="48">
        <f>IF(MONTH($A126)=12,2.333,1)*VLOOKUP($A126,'Página22'!$A$1:$S$27,COLUMN(),TRUE)</f>
        <v>1</v>
      </c>
      <c r="L126" s="48">
        <f>VLOOKUP($A126,'Página22'!$A$1:$S$27,COLUMN(),TRUE)</f>
        <v>0.8110598463</v>
      </c>
      <c r="M126" s="48">
        <f>VLOOKUP($A126,'Página22'!$A$1:$S$27,COLUMN(),TRUE)</f>
        <v>0.452530659</v>
      </c>
      <c r="N126" s="48">
        <f>VLOOKUP($A126,'Página22'!$A$1:$S$27,COLUMN(),TRUE)</f>
        <v>0.8110576661</v>
      </c>
      <c r="O126" s="48">
        <f>VLOOKUP($A126,'Página22'!$A$1:$S$27,COLUMN(),TRUE)</f>
        <v>0.3134027361</v>
      </c>
      <c r="P126" s="48">
        <f>VLOOKUP($A126,'Página22'!$A$1:$S$27,COLUMN(),TRUE)</f>
        <v>0.8251183179</v>
      </c>
      <c r="Q126" s="48">
        <f>VLOOKUP($A126,'Página22'!$A$1:$S$27,COLUMN(),TRUE)</f>
        <v>0.5171097355</v>
      </c>
      <c r="R126" s="48">
        <f>VLOOKUP($A126,'Página22'!$A$1:$S$27,COLUMN(),TRUE)</f>
        <v>0.8251164494</v>
      </c>
      <c r="S126" s="48">
        <f>VLOOKUP($A126,'Página22'!$A$1:$S$27,COLUMN(),TRUE)</f>
        <v>0.3581273507</v>
      </c>
      <c r="T126" s="73">
        <f t="shared" si="5"/>
        <v>2026</v>
      </c>
      <c r="U126" s="73">
        <f t="shared" si="6"/>
        <v>5</v>
      </c>
    </row>
    <row r="127">
      <c r="A127" s="34">
        <v>46174.0</v>
      </c>
      <c r="B127" s="48">
        <f t="shared" si="7"/>
        <v>1.252277349</v>
      </c>
      <c r="C127" s="48">
        <f>IF(MONTH($A127)=12,2.333,1)*VLOOKUP($A127,'Página22'!$A$1:$S$27,COLUMN(),TRUE)</f>
        <v>1.052631579</v>
      </c>
      <c r="D127" s="48">
        <f t="shared" si="2"/>
        <v>1.093120199</v>
      </c>
      <c r="E127" s="48">
        <f>IF(MONTH($A127)=12,2.333,1)*VLOOKUP($A127,'Página22'!$A$1:$S$27,COLUMN(),TRUE)</f>
        <v>1.052631579</v>
      </c>
      <c r="F127" s="48">
        <f>IF(MONTH($A127)=12,2.333,1)*VLOOKUP($A127,'Página22'!$A$1:$S$27,COLUMN(),TRUE)</f>
        <v>1</v>
      </c>
      <c r="G127" s="48">
        <f t="shared" si="8"/>
        <v>1.329300436</v>
      </c>
      <c r="H127" s="48">
        <f>IF(MONTH($A127)=12,2.333,1)*VLOOKUP($A127,'Página22'!$A$1:$S$27,COLUMN(),TRUE)</f>
        <v>1.048715383</v>
      </c>
      <c r="I127" s="48">
        <f t="shared" si="4"/>
        <v>1.147431146</v>
      </c>
      <c r="J127" s="48">
        <f>IF(MONTH($A127)=12,2.333,1)*VLOOKUP($A127,'Página22'!$A$1:$S$27,COLUMN(),TRUE)</f>
        <v>1.048715383</v>
      </c>
      <c r="K127" s="48">
        <f>IF(MONTH($A127)=12,2.333,1)*VLOOKUP($A127,'Página22'!$A$1:$S$27,COLUMN(),TRUE)</f>
        <v>1</v>
      </c>
      <c r="L127" s="48">
        <f>VLOOKUP($A127,'Página22'!$A$1:$S$27,COLUMN(),TRUE)</f>
        <v>0.8110598463</v>
      </c>
      <c r="M127" s="48">
        <f>VLOOKUP($A127,'Página22'!$A$1:$S$27,COLUMN(),TRUE)</f>
        <v>0.452530659</v>
      </c>
      <c r="N127" s="48">
        <f>VLOOKUP($A127,'Página22'!$A$1:$S$27,COLUMN(),TRUE)</f>
        <v>0.8110576661</v>
      </c>
      <c r="O127" s="48">
        <f>VLOOKUP($A127,'Página22'!$A$1:$S$27,COLUMN(),TRUE)</f>
        <v>0.3134027361</v>
      </c>
      <c r="P127" s="48">
        <f>VLOOKUP($A127,'Página22'!$A$1:$S$27,COLUMN(),TRUE)</f>
        <v>0.8251183179</v>
      </c>
      <c r="Q127" s="48">
        <f>VLOOKUP($A127,'Página22'!$A$1:$S$27,COLUMN(),TRUE)</f>
        <v>0.5171097355</v>
      </c>
      <c r="R127" s="48">
        <f>VLOOKUP($A127,'Página22'!$A$1:$S$27,COLUMN(),TRUE)</f>
        <v>0.8251164494</v>
      </c>
      <c r="S127" s="48">
        <f>VLOOKUP($A127,'Página22'!$A$1:$S$27,COLUMN(),TRUE)</f>
        <v>0.3581273507</v>
      </c>
      <c r="T127" s="73">
        <f t="shared" si="5"/>
        <v>2026</v>
      </c>
      <c r="U127" s="73">
        <f t="shared" si="6"/>
        <v>6</v>
      </c>
    </row>
    <row r="128">
      <c r="A128" s="34">
        <v>46204.0</v>
      </c>
      <c r="B128" s="48">
        <f t="shared" si="7"/>
        <v>1.252277349</v>
      </c>
      <c r="C128" s="48">
        <f>IF(MONTH($A128)=12,2.333,1)*VLOOKUP($A128,'Página22'!$A$1:$S$27,COLUMN(),TRUE)</f>
        <v>1.052631579</v>
      </c>
      <c r="D128" s="48">
        <f t="shared" si="2"/>
        <v>1.093120199</v>
      </c>
      <c r="E128" s="48">
        <f>IF(MONTH($A128)=12,2.333,1)*VLOOKUP($A128,'Página22'!$A$1:$S$27,COLUMN(),TRUE)</f>
        <v>1.052631579</v>
      </c>
      <c r="F128" s="48">
        <f>IF(MONTH($A128)=12,2.333,1)*VLOOKUP($A128,'Página22'!$A$1:$S$27,COLUMN(),TRUE)</f>
        <v>1</v>
      </c>
      <c r="G128" s="48">
        <f t="shared" si="8"/>
        <v>1.329300436</v>
      </c>
      <c r="H128" s="48">
        <f>IF(MONTH($A128)=12,2.333,1)*VLOOKUP($A128,'Página22'!$A$1:$S$27,COLUMN(),TRUE)</f>
        <v>1.048715383</v>
      </c>
      <c r="I128" s="48">
        <f t="shared" si="4"/>
        <v>1.147431146</v>
      </c>
      <c r="J128" s="48">
        <f>IF(MONTH($A128)=12,2.333,1)*VLOOKUP($A128,'Página22'!$A$1:$S$27,COLUMN(),TRUE)</f>
        <v>1.048715383</v>
      </c>
      <c r="K128" s="48">
        <f>IF(MONTH($A128)=12,2.333,1)*VLOOKUP($A128,'Página22'!$A$1:$S$27,COLUMN(),TRUE)</f>
        <v>1</v>
      </c>
      <c r="L128" s="48">
        <f>VLOOKUP($A128,'Página22'!$A$1:$S$27,COLUMN(),TRUE)</f>
        <v>0.8110598463</v>
      </c>
      <c r="M128" s="48">
        <f>VLOOKUP($A128,'Página22'!$A$1:$S$27,COLUMN(),TRUE)</f>
        <v>0.452530659</v>
      </c>
      <c r="N128" s="48">
        <f>VLOOKUP($A128,'Página22'!$A$1:$S$27,COLUMN(),TRUE)</f>
        <v>0.8110576661</v>
      </c>
      <c r="O128" s="48">
        <f>VLOOKUP($A128,'Página22'!$A$1:$S$27,COLUMN(),TRUE)</f>
        <v>0.3134027361</v>
      </c>
      <c r="P128" s="48">
        <f>VLOOKUP($A128,'Página22'!$A$1:$S$27,COLUMN(),TRUE)</f>
        <v>0.8251183179</v>
      </c>
      <c r="Q128" s="48">
        <f>VLOOKUP($A128,'Página22'!$A$1:$S$27,COLUMN(),TRUE)</f>
        <v>0.5171097355</v>
      </c>
      <c r="R128" s="48">
        <f>VLOOKUP($A128,'Página22'!$A$1:$S$27,COLUMN(),TRUE)</f>
        <v>0.8251164494</v>
      </c>
      <c r="S128" s="48">
        <f>VLOOKUP($A128,'Página22'!$A$1:$S$27,COLUMN(),TRUE)</f>
        <v>0.3581273507</v>
      </c>
      <c r="T128" s="73">
        <f t="shared" si="5"/>
        <v>2026</v>
      </c>
      <c r="U128" s="73">
        <f t="shared" si="6"/>
        <v>7</v>
      </c>
    </row>
    <row r="129">
      <c r="A129" s="34">
        <v>46235.0</v>
      </c>
      <c r="B129" s="48">
        <f t="shared" si="7"/>
        <v>1.252277349</v>
      </c>
      <c r="C129" s="48">
        <f>IF(MONTH($A129)=12,2.333,1)*VLOOKUP($A129,'Página22'!$A$1:$S$27,COLUMN(),TRUE)</f>
        <v>1.052631579</v>
      </c>
      <c r="D129" s="48">
        <f t="shared" si="2"/>
        <v>1.093120199</v>
      </c>
      <c r="E129" s="48">
        <f>IF(MONTH($A129)=12,2.333,1)*VLOOKUP($A129,'Página22'!$A$1:$S$27,COLUMN(),TRUE)</f>
        <v>1.052631579</v>
      </c>
      <c r="F129" s="48">
        <f>IF(MONTH($A129)=12,2.333,1)*VLOOKUP($A129,'Página22'!$A$1:$S$27,COLUMN(),TRUE)</f>
        <v>1</v>
      </c>
      <c r="G129" s="48">
        <f t="shared" si="8"/>
        <v>1.329300436</v>
      </c>
      <c r="H129" s="48">
        <f>IF(MONTH($A129)=12,2.333,1)*VLOOKUP($A129,'Página22'!$A$1:$S$27,COLUMN(),TRUE)</f>
        <v>1.048715383</v>
      </c>
      <c r="I129" s="48">
        <f t="shared" si="4"/>
        <v>1.147431146</v>
      </c>
      <c r="J129" s="48">
        <f>IF(MONTH($A129)=12,2.333,1)*VLOOKUP($A129,'Página22'!$A$1:$S$27,COLUMN(),TRUE)</f>
        <v>1.048715383</v>
      </c>
      <c r="K129" s="48">
        <f>IF(MONTH($A129)=12,2.333,1)*VLOOKUP($A129,'Página22'!$A$1:$S$27,COLUMN(),TRUE)</f>
        <v>1</v>
      </c>
      <c r="L129" s="48">
        <f>VLOOKUP($A129,'Página22'!$A$1:$S$27,COLUMN(),TRUE)</f>
        <v>0.8110598463</v>
      </c>
      <c r="M129" s="48">
        <f>VLOOKUP($A129,'Página22'!$A$1:$S$27,COLUMN(),TRUE)</f>
        <v>0.452530659</v>
      </c>
      <c r="N129" s="48">
        <f>VLOOKUP($A129,'Página22'!$A$1:$S$27,COLUMN(),TRUE)</f>
        <v>0.8110576661</v>
      </c>
      <c r="O129" s="48">
        <f>VLOOKUP($A129,'Página22'!$A$1:$S$27,COLUMN(),TRUE)</f>
        <v>0.3134027361</v>
      </c>
      <c r="P129" s="48">
        <f>VLOOKUP($A129,'Página22'!$A$1:$S$27,COLUMN(),TRUE)</f>
        <v>0.8251183179</v>
      </c>
      <c r="Q129" s="48">
        <f>VLOOKUP($A129,'Página22'!$A$1:$S$27,COLUMN(),TRUE)</f>
        <v>0.5171097355</v>
      </c>
      <c r="R129" s="48">
        <f>VLOOKUP($A129,'Página22'!$A$1:$S$27,COLUMN(),TRUE)</f>
        <v>0.8251164494</v>
      </c>
      <c r="S129" s="48">
        <f>VLOOKUP($A129,'Página22'!$A$1:$S$27,COLUMN(),TRUE)</f>
        <v>0.3581273507</v>
      </c>
      <c r="T129" s="73">
        <f t="shared" si="5"/>
        <v>2026</v>
      </c>
      <c r="U129" s="73">
        <f t="shared" si="6"/>
        <v>8</v>
      </c>
    </row>
    <row r="130">
      <c r="A130" s="34">
        <v>46266.0</v>
      </c>
      <c r="B130" s="48">
        <f t="shared" si="7"/>
        <v>1.252277349</v>
      </c>
      <c r="C130" s="48">
        <f>IF(MONTH($A130)=12,2.333,1)*VLOOKUP($A130,'Página22'!$A$1:$S$27,COLUMN(),TRUE)</f>
        <v>1.052631579</v>
      </c>
      <c r="D130" s="48">
        <f t="shared" si="2"/>
        <v>1.093120199</v>
      </c>
      <c r="E130" s="48">
        <f>IF(MONTH($A130)=12,2.333,1)*VLOOKUP($A130,'Página22'!$A$1:$S$27,COLUMN(),TRUE)</f>
        <v>1.052631579</v>
      </c>
      <c r="F130" s="48">
        <f>IF(MONTH($A130)=12,2.333,1)*VLOOKUP($A130,'Página22'!$A$1:$S$27,COLUMN(),TRUE)</f>
        <v>1</v>
      </c>
      <c r="G130" s="48">
        <f t="shared" si="8"/>
        <v>1.329300436</v>
      </c>
      <c r="H130" s="48">
        <f>IF(MONTH($A130)=12,2.333,1)*VLOOKUP($A130,'Página22'!$A$1:$S$27,COLUMN(),TRUE)</f>
        <v>1.048715383</v>
      </c>
      <c r="I130" s="48">
        <f t="shared" si="4"/>
        <v>1.147431146</v>
      </c>
      <c r="J130" s="48">
        <f>IF(MONTH($A130)=12,2.333,1)*VLOOKUP($A130,'Página22'!$A$1:$S$27,COLUMN(),TRUE)</f>
        <v>1.048715383</v>
      </c>
      <c r="K130" s="48">
        <f>IF(MONTH($A130)=12,2.333,1)*VLOOKUP($A130,'Página22'!$A$1:$S$27,COLUMN(),TRUE)</f>
        <v>1</v>
      </c>
      <c r="L130" s="48">
        <f>VLOOKUP($A130,'Página22'!$A$1:$S$27,COLUMN(),TRUE)</f>
        <v>0.8110598463</v>
      </c>
      <c r="M130" s="48">
        <f>VLOOKUP($A130,'Página22'!$A$1:$S$27,COLUMN(),TRUE)</f>
        <v>0.452530659</v>
      </c>
      <c r="N130" s="48">
        <f>VLOOKUP($A130,'Página22'!$A$1:$S$27,COLUMN(),TRUE)</f>
        <v>0.8110576661</v>
      </c>
      <c r="O130" s="48">
        <f>VLOOKUP($A130,'Página22'!$A$1:$S$27,COLUMN(),TRUE)</f>
        <v>0.3134027361</v>
      </c>
      <c r="P130" s="48">
        <f>VLOOKUP($A130,'Página22'!$A$1:$S$27,COLUMN(),TRUE)</f>
        <v>0.8251183179</v>
      </c>
      <c r="Q130" s="48">
        <f>VLOOKUP($A130,'Página22'!$A$1:$S$27,COLUMN(),TRUE)</f>
        <v>0.5171097355</v>
      </c>
      <c r="R130" s="48">
        <f>VLOOKUP($A130,'Página22'!$A$1:$S$27,COLUMN(),TRUE)</f>
        <v>0.8251164494</v>
      </c>
      <c r="S130" s="48">
        <f>VLOOKUP($A130,'Página22'!$A$1:$S$27,COLUMN(),TRUE)</f>
        <v>0.3581273507</v>
      </c>
      <c r="T130" s="73">
        <f t="shared" si="5"/>
        <v>2026</v>
      </c>
      <c r="U130" s="73">
        <f t="shared" si="6"/>
        <v>9</v>
      </c>
    </row>
    <row r="131">
      <c r="A131" s="34">
        <v>46296.0</v>
      </c>
      <c r="B131" s="48">
        <f t="shared" si="7"/>
        <v>1.252277349</v>
      </c>
      <c r="C131" s="48">
        <f>IF(MONTH($A131)=12,2.333,1)*VLOOKUP($A131,'Página22'!$A$1:$S$27,COLUMN(),TRUE)</f>
        <v>1.052631579</v>
      </c>
      <c r="D131" s="48">
        <f t="shared" si="2"/>
        <v>1.093120199</v>
      </c>
      <c r="E131" s="48">
        <f>IF(MONTH($A131)=12,2.333,1)*VLOOKUP($A131,'Página22'!$A$1:$S$27,COLUMN(),TRUE)</f>
        <v>1.052631579</v>
      </c>
      <c r="F131" s="48">
        <f>IF(MONTH($A131)=12,2.333,1)*VLOOKUP($A131,'Página22'!$A$1:$S$27,COLUMN(),TRUE)</f>
        <v>1</v>
      </c>
      <c r="G131" s="48">
        <f t="shared" si="8"/>
        <v>1.329300436</v>
      </c>
      <c r="H131" s="48">
        <f>IF(MONTH($A131)=12,2.333,1)*VLOOKUP($A131,'Página22'!$A$1:$S$27,COLUMN(),TRUE)</f>
        <v>1.048715383</v>
      </c>
      <c r="I131" s="48">
        <f t="shared" si="4"/>
        <v>1.147431146</v>
      </c>
      <c r="J131" s="48">
        <f>IF(MONTH($A131)=12,2.333,1)*VLOOKUP($A131,'Página22'!$A$1:$S$27,COLUMN(),TRUE)</f>
        <v>1.048715383</v>
      </c>
      <c r="K131" s="48">
        <f>IF(MONTH($A131)=12,2.333,1)*VLOOKUP($A131,'Página22'!$A$1:$S$27,COLUMN(),TRUE)</f>
        <v>1</v>
      </c>
      <c r="L131" s="48">
        <f>VLOOKUP($A131,'Página22'!$A$1:$S$27,COLUMN(),TRUE)</f>
        <v>0.8110598463</v>
      </c>
      <c r="M131" s="48">
        <f>VLOOKUP($A131,'Página22'!$A$1:$S$27,COLUMN(),TRUE)</f>
        <v>0.452530659</v>
      </c>
      <c r="N131" s="48">
        <f>VLOOKUP($A131,'Página22'!$A$1:$S$27,COLUMN(),TRUE)</f>
        <v>0.8110576661</v>
      </c>
      <c r="O131" s="48">
        <f>VLOOKUP($A131,'Página22'!$A$1:$S$27,COLUMN(),TRUE)</f>
        <v>0.3134027361</v>
      </c>
      <c r="P131" s="48">
        <f>VLOOKUP($A131,'Página22'!$A$1:$S$27,COLUMN(),TRUE)</f>
        <v>0.8251183179</v>
      </c>
      <c r="Q131" s="48">
        <f>VLOOKUP($A131,'Página22'!$A$1:$S$27,COLUMN(),TRUE)</f>
        <v>0.5171097355</v>
      </c>
      <c r="R131" s="48">
        <f>VLOOKUP($A131,'Página22'!$A$1:$S$27,COLUMN(),TRUE)</f>
        <v>0.8251164494</v>
      </c>
      <c r="S131" s="48">
        <f>VLOOKUP($A131,'Página22'!$A$1:$S$27,COLUMN(),TRUE)</f>
        <v>0.3581273507</v>
      </c>
      <c r="T131" s="73">
        <f t="shared" si="5"/>
        <v>2026</v>
      </c>
      <c r="U131" s="73">
        <f t="shared" si="6"/>
        <v>10</v>
      </c>
    </row>
    <row r="132">
      <c r="A132" s="34">
        <v>46327.0</v>
      </c>
      <c r="B132" s="48">
        <f t="shared" si="7"/>
        <v>1.252277349</v>
      </c>
      <c r="C132" s="48">
        <f>IF(MONTH($A132)=12,2.333,1)*VLOOKUP($A132,'Página22'!$A$1:$S$27,COLUMN(),TRUE)</f>
        <v>1.052631579</v>
      </c>
      <c r="D132" s="48">
        <f t="shared" si="2"/>
        <v>1.093120199</v>
      </c>
      <c r="E132" s="48">
        <f>IF(MONTH($A132)=12,2.333,1)*VLOOKUP($A132,'Página22'!$A$1:$S$27,COLUMN(),TRUE)</f>
        <v>1.052631579</v>
      </c>
      <c r="F132" s="48">
        <f>IF(MONTH($A132)=12,2.333,1)*VLOOKUP($A132,'Página22'!$A$1:$S$27,COLUMN(),TRUE)</f>
        <v>1</v>
      </c>
      <c r="G132" s="48">
        <f t="shared" si="8"/>
        <v>1.329300436</v>
      </c>
      <c r="H132" s="48">
        <f>IF(MONTH($A132)=12,2.333,1)*VLOOKUP($A132,'Página22'!$A$1:$S$27,COLUMN(),TRUE)</f>
        <v>1.048715383</v>
      </c>
      <c r="I132" s="48">
        <f t="shared" si="4"/>
        <v>1.147431146</v>
      </c>
      <c r="J132" s="48">
        <f>IF(MONTH($A132)=12,2.333,1)*VLOOKUP($A132,'Página22'!$A$1:$S$27,COLUMN(),TRUE)</f>
        <v>1.048715383</v>
      </c>
      <c r="K132" s="48">
        <f>IF(MONTH($A132)=12,2.333,1)*VLOOKUP($A132,'Página22'!$A$1:$S$27,COLUMN(),TRUE)</f>
        <v>1</v>
      </c>
      <c r="L132" s="48">
        <f>VLOOKUP($A132,'Página22'!$A$1:$S$27,COLUMN(),TRUE)</f>
        <v>0.8110598463</v>
      </c>
      <c r="M132" s="48">
        <f>VLOOKUP($A132,'Página22'!$A$1:$S$27,COLUMN(),TRUE)</f>
        <v>0.452530659</v>
      </c>
      <c r="N132" s="48">
        <f>VLOOKUP($A132,'Página22'!$A$1:$S$27,COLUMN(),TRUE)</f>
        <v>0.8110576661</v>
      </c>
      <c r="O132" s="48">
        <f>VLOOKUP($A132,'Página22'!$A$1:$S$27,COLUMN(),TRUE)</f>
        <v>0.3134027361</v>
      </c>
      <c r="P132" s="48">
        <f>VLOOKUP($A132,'Página22'!$A$1:$S$27,COLUMN(),TRUE)</f>
        <v>0.8251183179</v>
      </c>
      <c r="Q132" s="48">
        <f>VLOOKUP($A132,'Página22'!$A$1:$S$27,COLUMN(),TRUE)</f>
        <v>0.5171097355</v>
      </c>
      <c r="R132" s="48">
        <f>VLOOKUP($A132,'Página22'!$A$1:$S$27,COLUMN(),TRUE)</f>
        <v>0.8251164494</v>
      </c>
      <c r="S132" s="48">
        <f>VLOOKUP($A132,'Página22'!$A$1:$S$27,COLUMN(),TRUE)</f>
        <v>0.3581273507</v>
      </c>
      <c r="T132" s="73">
        <f t="shared" si="5"/>
        <v>2026</v>
      </c>
      <c r="U132" s="73">
        <f t="shared" si="6"/>
        <v>11</v>
      </c>
    </row>
    <row r="133">
      <c r="A133" s="34">
        <v>46357.0</v>
      </c>
      <c r="B133" s="48">
        <f t="shared" si="7"/>
        <v>2.921563055</v>
      </c>
      <c r="C133" s="48">
        <f>IF(MONTH($A133)=12,2.333,1)*VLOOKUP($A133,'Página22'!$A$1:$S$27,COLUMN(),TRUE)</f>
        <v>2.455789474</v>
      </c>
      <c r="D133" s="48">
        <f t="shared" si="2"/>
        <v>2.550249425</v>
      </c>
      <c r="E133" s="48">
        <f>IF(MONTH($A133)=12,2.333,1)*VLOOKUP($A133,'Página22'!$A$1:$S$27,COLUMN(),TRUE)</f>
        <v>2.455789474</v>
      </c>
      <c r="F133" s="48">
        <f>IF(MONTH($A133)=12,2.333,1)*VLOOKUP($A133,'Página22'!$A$1:$S$27,COLUMN(),TRUE)</f>
        <v>2.333</v>
      </c>
      <c r="G133" s="48">
        <f t="shared" si="8"/>
        <v>3.101257917</v>
      </c>
      <c r="H133" s="48">
        <f>IF(MONTH($A133)=12,2.333,1)*VLOOKUP($A133,'Página22'!$A$1:$S$27,COLUMN(),TRUE)</f>
        <v>2.446652989</v>
      </c>
      <c r="I133" s="48">
        <f t="shared" si="4"/>
        <v>2.676956863</v>
      </c>
      <c r="J133" s="48">
        <f>IF(MONTH($A133)=12,2.333,1)*VLOOKUP($A133,'Página22'!$A$1:$S$27,COLUMN(),TRUE)</f>
        <v>2.446652989</v>
      </c>
      <c r="K133" s="48">
        <f>IF(MONTH($A133)=12,2.333,1)*VLOOKUP($A133,'Página22'!$A$1:$S$27,COLUMN(),TRUE)</f>
        <v>2.333</v>
      </c>
      <c r="L133" s="48">
        <f>VLOOKUP($A133,'Página22'!$A$1:$S$27,COLUMN(),TRUE)</f>
        <v>0.8110598463</v>
      </c>
      <c r="M133" s="48">
        <f>VLOOKUP($A133,'Página22'!$A$1:$S$27,COLUMN(),TRUE)</f>
        <v>0.452530659</v>
      </c>
      <c r="N133" s="48">
        <f>VLOOKUP($A133,'Página22'!$A$1:$S$27,COLUMN(),TRUE)</f>
        <v>0.8110576661</v>
      </c>
      <c r="O133" s="48">
        <f>VLOOKUP($A133,'Página22'!$A$1:$S$27,COLUMN(),TRUE)</f>
        <v>0.3134027361</v>
      </c>
      <c r="P133" s="48">
        <f>VLOOKUP($A133,'Página22'!$A$1:$S$27,COLUMN(),TRUE)</f>
        <v>0.8251183179</v>
      </c>
      <c r="Q133" s="48">
        <f>VLOOKUP($A133,'Página22'!$A$1:$S$27,COLUMN(),TRUE)</f>
        <v>0.5171097355</v>
      </c>
      <c r="R133" s="48">
        <f>VLOOKUP($A133,'Página22'!$A$1:$S$27,COLUMN(),TRUE)</f>
        <v>0.8251164494</v>
      </c>
      <c r="S133" s="48">
        <f>VLOOKUP($A133,'Página22'!$A$1:$S$27,COLUMN(),TRUE)</f>
        <v>0.3581273507</v>
      </c>
      <c r="T133" s="73">
        <f t="shared" si="5"/>
        <v>2026</v>
      </c>
      <c r="U133" s="73">
        <f t="shared" si="6"/>
        <v>12</v>
      </c>
    </row>
    <row r="134">
      <c r="A134" s="34">
        <v>46388.0</v>
      </c>
      <c r="B134" s="48">
        <f t="shared" si="7"/>
        <v>1.252277349</v>
      </c>
      <c r="C134" s="48">
        <f>IF(MONTH($A134)=12,2.333,1)*VLOOKUP($A134,'Página22'!$A$1:$S$27,COLUMN(),TRUE)</f>
        <v>1.052631579</v>
      </c>
      <c r="D134" s="48">
        <f t="shared" si="2"/>
        <v>1.093120199</v>
      </c>
      <c r="E134" s="48">
        <f>IF(MONTH($A134)=12,2.333,1)*VLOOKUP($A134,'Página22'!$A$1:$S$27,COLUMN(),TRUE)</f>
        <v>1.052631579</v>
      </c>
      <c r="F134" s="48">
        <f>IF(MONTH($A134)=12,2.333,1)*VLOOKUP($A134,'Página22'!$A$1:$S$27,COLUMN(),TRUE)</f>
        <v>1</v>
      </c>
      <c r="G134" s="48">
        <f t="shared" si="8"/>
        <v>1.329300436</v>
      </c>
      <c r="H134" s="48">
        <f>IF(MONTH($A134)=12,2.333,1)*VLOOKUP($A134,'Página22'!$A$1:$S$27,COLUMN(),TRUE)</f>
        <v>1.048715383</v>
      </c>
      <c r="I134" s="48">
        <f t="shared" si="4"/>
        <v>1.147431146</v>
      </c>
      <c r="J134" s="48">
        <f>IF(MONTH($A134)=12,2.333,1)*VLOOKUP($A134,'Página22'!$A$1:$S$27,COLUMN(),TRUE)</f>
        <v>1.048715383</v>
      </c>
      <c r="K134" s="48">
        <f>IF(MONTH($A134)=12,2.333,1)*VLOOKUP($A134,'Página22'!$A$1:$S$27,COLUMN(),TRUE)</f>
        <v>1</v>
      </c>
      <c r="L134" s="48">
        <f>VLOOKUP($A134,'Página22'!$A$1:$S$27,COLUMN(),TRUE)</f>
        <v>0.8110598463</v>
      </c>
      <c r="M134" s="48">
        <f>VLOOKUP($A134,'Página22'!$A$1:$S$27,COLUMN(),TRUE)</f>
        <v>0.452530659</v>
      </c>
      <c r="N134" s="48">
        <f>VLOOKUP($A134,'Página22'!$A$1:$S$27,COLUMN(),TRUE)</f>
        <v>0.8110576661</v>
      </c>
      <c r="O134" s="48">
        <f>VLOOKUP($A134,'Página22'!$A$1:$S$27,COLUMN(),TRUE)</f>
        <v>0.3134027361</v>
      </c>
      <c r="P134" s="48">
        <f>VLOOKUP($A134,'Página22'!$A$1:$S$27,COLUMN(),TRUE)</f>
        <v>0.8251183179</v>
      </c>
      <c r="Q134" s="48">
        <f>VLOOKUP($A134,'Página22'!$A$1:$S$27,COLUMN(),TRUE)</f>
        <v>0.5171097355</v>
      </c>
      <c r="R134" s="48">
        <f>VLOOKUP($A134,'Página22'!$A$1:$S$27,COLUMN(),TRUE)</f>
        <v>0.8251164494</v>
      </c>
      <c r="S134" s="48">
        <f>VLOOKUP($A134,'Página22'!$A$1:$S$27,COLUMN(),TRUE)</f>
        <v>0.3581273507</v>
      </c>
      <c r="T134" s="73">
        <f t="shared" si="5"/>
        <v>2027</v>
      </c>
      <c r="U134" s="73">
        <f t="shared" si="6"/>
        <v>1</v>
      </c>
    </row>
    <row r="135">
      <c r="A135" s="34">
        <v>46419.0</v>
      </c>
      <c r="B135" s="48">
        <f t="shared" si="7"/>
        <v>1.252277349</v>
      </c>
      <c r="C135" s="48">
        <f>IF(MONTH($A135)=12,2.333,1)*VLOOKUP($A135,'Página22'!$A$1:$S$27,COLUMN(),TRUE)</f>
        <v>1.052631579</v>
      </c>
      <c r="D135" s="48">
        <f t="shared" si="2"/>
        <v>1.102992388</v>
      </c>
      <c r="E135" s="48">
        <f>IF(MONTH($A135)=12,2.333,1)*VLOOKUP($A135,'Página22'!$A$1:$S$27,COLUMN(),TRUE)</f>
        <v>1.052631579</v>
      </c>
      <c r="F135" s="48">
        <f>IF(MONTH($A135)=12,2.333,1)*VLOOKUP($A135,'Página22'!$A$1:$S$27,COLUMN(),TRUE)</f>
        <v>1</v>
      </c>
      <c r="G135" s="48">
        <f t="shared" si="8"/>
        <v>1.329300436</v>
      </c>
      <c r="H135" s="48">
        <f>IF(MONTH($A135)=12,2.333,1)*VLOOKUP($A135,'Página22'!$A$1:$S$27,COLUMN(),TRUE)</f>
        <v>1.048715383</v>
      </c>
      <c r="I135" s="48">
        <f t="shared" si="4"/>
        <v>1.15871216</v>
      </c>
      <c r="J135" s="48">
        <f>IF(MONTH($A135)=12,2.333,1)*VLOOKUP($A135,'Página22'!$A$1:$S$27,COLUMN(),TRUE)</f>
        <v>1.048715383</v>
      </c>
      <c r="K135" s="48">
        <f>IF(MONTH($A135)=12,2.333,1)*VLOOKUP($A135,'Página22'!$A$1:$S$27,COLUMN(),TRUE)</f>
        <v>1</v>
      </c>
      <c r="L135" s="48">
        <f>VLOOKUP($A135,'Página22'!$A$1:$S$27,COLUMN(),TRUE)</f>
        <v>0.8110598463</v>
      </c>
      <c r="M135" s="48">
        <f>VLOOKUP($A135,'Página22'!$A$1:$S$27,COLUMN(),TRUE)</f>
        <v>0.452530659</v>
      </c>
      <c r="N135" s="48">
        <f>VLOOKUP($A135,'Página22'!$A$1:$S$27,COLUMN(),TRUE)</f>
        <v>0.8110576661</v>
      </c>
      <c r="O135" s="48">
        <f>VLOOKUP($A135,'Página22'!$A$1:$S$27,COLUMN(),TRUE)</f>
        <v>0.3243718319</v>
      </c>
      <c r="P135" s="48">
        <f>VLOOKUP($A135,'Página22'!$A$1:$S$27,COLUMN(),TRUE)</f>
        <v>0.8251183179</v>
      </c>
      <c r="Q135" s="48">
        <f>VLOOKUP($A135,'Página22'!$A$1:$S$27,COLUMN(),TRUE)</f>
        <v>0.5171097355</v>
      </c>
      <c r="R135" s="48">
        <f>VLOOKUP($A135,'Página22'!$A$1:$S$27,COLUMN(),TRUE)</f>
        <v>0.8251164494</v>
      </c>
      <c r="S135" s="48">
        <f>VLOOKUP($A135,'Página22'!$A$1:$S$27,COLUMN(),TRUE)</f>
        <v>0.370661808</v>
      </c>
      <c r="T135" s="73">
        <f t="shared" si="5"/>
        <v>2027</v>
      </c>
      <c r="U135" s="73">
        <f t="shared" si="6"/>
        <v>2</v>
      </c>
    </row>
    <row r="136">
      <c r="A136" s="34">
        <v>46447.0</v>
      </c>
      <c r="B136" s="48">
        <f t="shared" si="7"/>
        <v>1.252277349</v>
      </c>
      <c r="C136" s="48">
        <f>IF(MONTH($A136)=12,2.333,1)*VLOOKUP($A136,'Página22'!$A$1:$S$27,COLUMN(),TRUE)</f>
        <v>1.052631579</v>
      </c>
      <c r="D136" s="48">
        <f t="shared" si="2"/>
        <v>1.102992388</v>
      </c>
      <c r="E136" s="48">
        <f>IF(MONTH($A136)=12,2.333,1)*VLOOKUP($A136,'Página22'!$A$1:$S$27,COLUMN(),TRUE)</f>
        <v>1.052631579</v>
      </c>
      <c r="F136" s="48">
        <f>IF(MONTH($A136)=12,2.333,1)*VLOOKUP($A136,'Página22'!$A$1:$S$27,COLUMN(),TRUE)</f>
        <v>1</v>
      </c>
      <c r="G136" s="48">
        <f t="shared" si="8"/>
        <v>1.329300436</v>
      </c>
      <c r="H136" s="48">
        <f>IF(MONTH($A136)=12,2.333,1)*VLOOKUP($A136,'Página22'!$A$1:$S$27,COLUMN(),TRUE)</f>
        <v>1.048715383</v>
      </c>
      <c r="I136" s="48">
        <f t="shared" si="4"/>
        <v>1.15871216</v>
      </c>
      <c r="J136" s="48">
        <f>IF(MONTH($A136)=12,2.333,1)*VLOOKUP($A136,'Página22'!$A$1:$S$27,COLUMN(),TRUE)</f>
        <v>1.048715383</v>
      </c>
      <c r="K136" s="48">
        <f>IF(MONTH($A136)=12,2.333,1)*VLOOKUP($A136,'Página22'!$A$1:$S$27,COLUMN(),TRUE)</f>
        <v>1</v>
      </c>
      <c r="L136" s="48">
        <f>VLOOKUP($A136,'Página22'!$A$1:$S$27,COLUMN(),TRUE)</f>
        <v>0.8110598463</v>
      </c>
      <c r="M136" s="48">
        <f>VLOOKUP($A136,'Página22'!$A$1:$S$27,COLUMN(),TRUE)</f>
        <v>0.452530659</v>
      </c>
      <c r="N136" s="48">
        <f>VLOOKUP($A136,'Página22'!$A$1:$S$27,COLUMN(),TRUE)</f>
        <v>0.8110576661</v>
      </c>
      <c r="O136" s="48">
        <f>VLOOKUP($A136,'Página22'!$A$1:$S$27,COLUMN(),TRUE)</f>
        <v>0.3243718319</v>
      </c>
      <c r="P136" s="48">
        <f>VLOOKUP($A136,'Página22'!$A$1:$S$27,COLUMN(),TRUE)</f>
        <v>0.8251183179</v>
      </c>
      <c r="Q136" s="48">
        <f>VLOOKUP($A136,'Página22'!$A$1:$S$27,COLUMN(),TRUE)</f>
        <v>0.5171097355</v>
      </c>
      <c r="R136" s="48">
        <f>VLOOKUP($A136,'Página22'!$A$1:$S$27,COLUMN(),TRUE)</f>
        <v>0.8251164494</v>
      </c>
      <c r="S136" s="48">
        <f>VLOOKUP($A136,'Página22'!$A$1:$S$27,COLUMN(),TRUE)</f>
        <v>0.370661808</v>
      </c>
      <c r="T136" s="73">
        <f t="shared" si="5"/>
        <v>2027</v>
      </c>
      <c r="U136" s="73">
        <f t="shared" si="6"/>
        <v>3</v>
      </c>
    </row>
    <row r="137">
      <c r="A137" s="34">
        <v>46478.0</v>
      </c>
      <c r="B137" s="48">
        <f t="shared" si="7"/>
        <v>1.252277349</v>
      </c>
      <c r="C137" s="48">
        <f>IF(MONTH($A137)=12,2.333,1)*VLOOKUP($A137,'Página22'!$A$1:$S$27,COLUMN(),TRUE)</f>
        <v>1.052631579</v>
      </c>
      <c r="D137" s="48">
        <f t="shared" si="2"/>
        <v>1.102992388</v>
      </c>
      <c r="E137" s="48">
        <f>IF(MONTH($A137)=12,2.333,1)*VLOOKUP($A137,'Página22'!$A$1:$S$27,COLUMN(),TRUE)</f>
        <v>1.052631579</v>
      </c>
      <c r="F137" s="48">
        <f>IF(MONTH($A137)=12,2.333,1)*VLOOKUP($A137,'Página22'!$A$1:$S$27,COLUMN(),TRUE)</f>
        <v>1</v>
      </c>
      <c r="G137" s="48">
        <f t="shared" si="8"/>
        <v>1.329300436</v>
      </c>
      <c r="H137" s="48">
        <f>IF(MONTH($A137)=12,2.333,1)*VLOOKUP($A137,'Página22'!$A$1:$S$27,COLUMN(),TRUE)</f>
        <v>1.048715383</v>
      </c>
      <c r="I137" s="48">
        <f t="shared" si="4"/>
        <v>1.15871216</v>
      </c>
      <c r="J137" s="48">
        <f>IF(MONTH($A137)=12,2.333,1)*VLOOKUP($A137,'Página22'!$A$1:$S$27,COLUMN(),TRUE)</f>
        <v>1.048715383</v>
      </c>
      <c r="K137" s="48">
        <f>IF(MONTH($A137)=12,2.333,1)*VLOOKUP($A137,'Página22'!$A$1:$S$27,COLUMN(),TRUE)</f>
        <v>1</v>
      </c>
      <c r="L137" s="48">
        <f>VLOOKUP($A137,'Página22'!$A$1:$S$27,COLUMN(),TRUE)</f>
        <v>0.8110598463</v>
      </c>
      <c r="M137" s="48">
        <f>VLOOKUP($A137,'Página22'!$A$1:$S$27,COLUMN(),TRUE)</f>
        <v>0.452530659</v>
      </c>
      <c r="N137" s="48">
        <f>VLOOKUP($A137,'Página22'!$A$1:$S$27,COLUMN(),TRUE)</f>
        <v>0.8110576661</v>
      </c>
      <c r="O137" s="48">
        <f>VLOOKUP($A137,'Página22'!$A$1:$S$27,COLUMN(),TRUE)</f>
        <v>0.3243718319</v>
      </c>
      <c r="P137" s="48">
        <f>VLOOKUP($A137,'Página22'!$A$1:$S$27,COLUMN(),TRUE)</f>
        <v>0.8251183179</v>
      </c>
      <c r="Q137" s="48">
        <f>VLOOKUP($A137,'Página22'!$A$1:$S$27,COLUMN(),TRUE)</f>
        <v>0.5171097355</v>
      </c>
      <c r="R137" s="48">
        <f>VLOOKUP($A137,'Página22'!$A$1:$S$27,COLUMN(),TRUE)</f>
        <v>0.8251164494</v>
      </c>
      <c r="S137" s="48">
        <f>VLOOKUP($A137,'Página22'!$A$1:$S$27,COLUMN(),TRUE)</f>
        <v>0.370661808</v>
      </c>
      <c r="T137" s="73">
        <f t="shared" si="5"/>
        <v>2027</v>
      </c>
      <c r="U137" s="73">
        <f t="shared" si="6"/>
        <v>4</v>
      </c>
    </row>
    <row r="138">
      <c r="A138" s="34">
        <v>46508.0</v>
      </c>
      <c r="B138" s="48">
        <f t="shared" si="7"/>
        <v>1.252277349</v>
      </c>
      <c r="C138" s="48">
        <f>IF(MONTH($A138)=12,2.333,1)*VLOOKUP($A138,'Página22'!$A$1:$S$27,COLUMN(),TRUE)</f>
        <v>1.052631579</v>
      </c>
      <c r="D138" s="48">
        <f t="shared" si="2"/>
        <v>1.102992388</v>
      </c>
      <c r="E138" s="48">
        <f>IF(MONTH($A138)=12,2.333,1)*VLOOKUP($A138,'Página22'!$A$1:$S$27,COLUMN(),TRUE)</f>
        <v>1.052631579</v>
      </c>
      <c r="F138" s="48">
        <f>IF(MONTH($A138)=12,2.333,1)*VLOOKUP($A138,'Página22'!$A$1:$S$27,COLUMN(),TRUE)</f>
        <v>1</v>
      </c>
      <c r="G138" s="48">
        <f t="shared" si="8"/>
        <v>1.329300436</v>
      </c>
      <c r="H138" s="48">
        <f>IF(MONTH($A138)=12,2.333,1)*VLOOKUP($A138,'Página22'!$A$1:$S$27,COLUMN(),TRUE)</f>
        <v>1.048715383</v>
      </c>
      <c r="I138" s="48">
        <f t="shared" si="4"/>
        <v>1.15871216</v>
      </c>
      <c r="J138" s="48">
        <f>IF(MONTH($A138)=12,2.333,1)*VLOOKUP($A138,'Página22'!$A$1:$S$27,COLUMN(),TRUE)</f>
        <v>1.048715383</v>
      </c>
      <c r="K138" s="48">
        <f>IF(MONTH($A138)=12,2.333,1)*VLOOKUP($A138,'Página22'!$A$1:$S$27,COLUMN(),TRUE)</f>
        <v>1</v>
      </c>
      <c r="L138" s="48">
        <f>VLOOKUP($A138,'Página22'!$A$1:$S$27,COLUMN(),TRUE)</f>
        <v>0.8110598463</v>
      </c>
      <c r="M138" s="48">
        <f>VLOOKUP($A138,'Página22'!$A$1:$S$27,COLUMN(),TRUE)</f>
        <v>0.452530659</v>
      </c>
      <c r="N138" s="48">
        <f>VLOOKUP($A138,'Página22'!$A$1:$S$27,COLUMN(),TRUE)</f>
        <v>0.8110576661</v>
      </c>
      <c r="O138" s="48">
        <f>VLOOKUP($A138,'Página22'!$A$1:$S$27,COLUMN(),TRUE)</f>
        <v>0.3243718319</v>
      </c>
      <c r="P138" s="48">
        <f>VLOOKUP($A138,'Página22'!$A$1:$S$27,COLUMN(),TRUE)</f>
        <v>0.8251183179</v>
      </c>
      <c r="Q138" s="48">
        <f>VLOOKUP($A138,'Página22'!$A$1:$S$27,COLUMN(),TRUE)</f>
        <v>0.5171097355</v>
      </c>
      <c r="R138" s="48">
        <f>VLOOKUP($A138,'Página22'!$A$1:$S$27,COLUMN(),TRUE)</f>
        <v>0.8251164494</v>
      </c>
      <c r="S138" s="48">
        <f>VLOOKUP($A138,'Página22'!$A$1:$S$27,COLUMN(),TRUE)</f>
        <v>0.370661808</v>
      </c>
      <c r="T138" s="73">
        <f t="shared" si="5"/>
        <v>2027</v>
      </c>
      <c r="U138" s="73">
        <f t="shared" si="6"/>
        <v>5</v>
      </c>
    </row>
    <row r="139">
      <c r="A139" s="34">
        <v>46539.0</v>
      </c>
      <c r="B139" s="48">
        <f t="shared" si="7"/>
        <v>1.252277349</v>
      </c>
      <c r="C139" s="48">
        <f>IF(MONTH($A139)=12,2.333,1)*VLOOKUP($A139,'Página22'!$A$1:$S$27,COLUMN(),TRUE)</f>
        <v>1.052631579</v>
      </c>
      <c r="D139" s="48">
        <f t="shared" si="2"/>
        <v>1.102992388</v>
      </c>
      <c r="E139" s="48">
        <f>IF(MONTH($A139)=12,2.333,1)*VLOOKUP($A139,'Página22'!$A$1:$S$27,COLUMN(),TRUE)</f>
        <v>1.052631579</v>
      </c>
      <c r="F139" s="48">
        <f>IF(MONTH($A139)=12,2.333,1)*VLOOKUP($A139,'Página22'!$A$1:$S$27,COLUMN(),TRUE)</f>
        <v>1</v>
      </c>
      <c r="G139" s="48">
        <f t="shared" si="8"/>
        <v>1.329300436</v>
      </c>
      <c r="H139" s="48">
        <f>IF(MONTH($A139)=12,2.333,1)*VLOOKUP($A139,'Página22'!$A$1:$S$27,COLUMN(),TRUE)</f>
        <v>1.048715383</v>
      </c>
      <c r="I139" s="48">
        <f t="shared" si="4"/>
        <v>1.15871216</v>
      </c>
      <c r="J139" s="48">
        <f>IF(MONTH($A139)=12,2.333,1)*VLOOKUP($A139,'Página22'!$A$1:$S$27,COLUMN(),TRUE)</f>
        <v>1.048715383</v>
      </c>
      <c r="K139" s="48">
        <f>IF(MONTH($A139)=12,2.333,1)*VLOOKUP($A139,'Página22'!$A$1:$S$27,COLUMN(),TRUE)</f>
        <v>1</v>
      </c>
      <c r="L139" s="48">
        <f>VLOOKUP($A139,'Página22'!$A$1:$S$27,COLUMN(),TRUE)</f>
        <v>0.8110598463</v>
      </c>
      <c r="M139" s="48">
        <f>VLOOKUP($A139,'Página22'!$A$1:$S$27,COLUMN(),TRUE)</f>
        <v>0.452530659</v>
      </c>
      <c r="N139" s="48">
        <f>VLOOKUP($A139,'Página22'!$A$1:$S$27,COLUMN(),TRUE)</f>
        <v>0.8110576661</v>
      </c>
      <c r="O139" s="48">
        <f>VLOOKUP($A139,'Página22'!$A$1:$S$27,COLUMN(),TRUE)</f>
        <v>0.3243718319</v>
      </c>
      <c r="P139" s="48">
        <f>VLOOKUP($A139,'Página22'!$A$1:$S$27,COLUMN(),TRUE)</f>
        <v>0.8251183179</v>
      </c>
      <c r="Q139" s="48">
        <f>VLOOKUP($A139,'Página22'!$A$1:$S$27,COLUMN(),TRUE)</f>
        <v>0.5171097355</v>
      </c>
      <c r="R139" s="48">
        <f>VLOOKUP($A139,'Página22'!$A$1:$S$27,COLUMN(),TRUE)</f>
        <v>0.8251164494</v>
      </c>
      <c r="S139" s="48">
        <f>VLOOKUP($A139,'Página22'!$A$1:$S$27,COLUMN(),TRUE)</f>
        <v>0.370661808</v>
      </c>
      <c r="T139" s="73">
        <f t="shared" si="5"/>
        <v>2027</v>
      </c>
      <c r="U139" s="73">
        <f t="shared" si="6"/>
        <v>6</v>
      </c>
    </row>
    <row r="140">
      <c r="A140" s="34">
        <v>46569.0</v>
      </c>
      <c r="B140" s="48">
        <f t="shared" si="7"/>
        <v>1.252277349</v>
      </c>
      <c r="C140" s="48">
        <f>IF(MONTH($A140)=12,2.333,1)*VLOOKUP($A140,'Página22'!$A$1:$S$27,COLUMN(),TRUE)</f>
        <v>1.052631579</v>
      </c>
      <c r="D140" s="48">
        <f t="shared" si="2"/>
        <v>1.102992388</v>
      </c>
      <c r="E140" s="48">
        <f>IF(MONTH($A140)=12,2.333,1)*VLOOKUP($A140,'Página22'!$A$1:$S$27,COLUMN(),TRUE)</f>
        <v>1.052631579</v>
      </c>
      <c r="F140" s="48">
        <f>IF(MONTH($A140)=12,2.333,1)*VLOOKUP($A140,'Página22'!$A$1:$S$27,COLUMN(),TRUE)</f>
        <v>1</v>
      </c>
      <c r="G140" s="48">
        <f t="shared" si="8"/>
        <v>1.329300436</v>
      </c>
      <c r="H140" s="48">
        <f>IF(MONTH($A140)=12,2.333,1)*VLOOKUP($A140,'Página22'!$A$1:$S$27,COLUMN(),TRUE)</f>
        <v>1.048715383</v>
      </c>
      <c r="I140" s="48">
        <f t="shared" si="4"/>
        <v>1.15871216</v>
      </c>
      <c r="J140" s="48">
        <f>IF(MONTH($A140)=12,2.333,1)*VLOOKUP($A140,'Página22'!$A$1:$S$27,COLUMN(),TRUE)</f>
        <v>1.048715383</v>
      </c>
      <c r="K140" s="48">
        <f>IF(MONTH($A140)=12,2.333,1)*VLOOKUP($A140,'Página22'!$A$1:$S$27,COLUMN(),TRUE)</f>
        <v>1</v>
      </c>
      <c r="L140" s="48">
        <f>VLOOKUP($A140,'Página22'!$A$1:$S$27,COLUMN(),TRUE)</f>
        <v>0.8110598463</v>
      </c>
      <c r="M140" s="48">
        <f>VLOOKUP($A140,'Página22'!$A$1:$S$27,COLUMN(),TRUE)</f>
        <v>0.452530659</v>
      </c>
      <c r="N140" s="48">
        <f>VLOOKUP($A140,'Página22'!$A$1:$S$27,COLUMN(),TRUE)</f>
        <v>0.8110576661</v>
      </c>
      <c r="O140" s="48">
        <f>VLOOKUP($A140,'Página22'!$A$1:$S$27,COLUMN(),TRUE)</f>
        <v>0.3243718319</v>
      </c>
      <c r="P140" s="48">
        <f>VLOOKUP($A140,'Página22'!$A$1:$S$27,COLUMN(),TRUE)</f>
        <v>0.8251183179</v>
      </c>
      <c r="Q140" s="48">
        <f>VLOOKUP($A140,'Página22'!$A$1:$S$27,COLUMN(),TRUE)</f>
        <v>0.5171097355</v>
      </c>
      <c r="R140" s="48">
        <f>VLOOKUP($A140,'Página22'!$A$1:$S$27,COLUMN(),TRUE)</f>
        <v>0.8251164494</v>
      </c>
      <c r="S140" s="48">
        <f>VLOOKUP($A140,'Página22'!$A$1:$S$27,COLUMN(),TRUE)</f>
        <v>0.370661808</v>
      </c>
      <c r="T140" s="73">
        <f t="shared" si="5"/>
        <v>2027</v>
      </c>
      <c r="U140" s="73">
        <f t="shared" si="6"/>
        <v>7</v>
      </c>
    </row>
    <row r="141">
      <c r="A141" s="34">
        <v>46600.0</v>
      </c>
      <c r="B141" s="48">
        <f t="shared" si="7"/>
        <v>1.252277349</v>
      </c>
      <c r="C141" s="48">
        <f>IF(MONTH($A141)=12,2.333,1)*VLOOKUP($A141,'Página22'!$A$1:$S$27,COLUMN(),TRUE)</f>
        <v>1.052631579</v>
      </c>
      <c r="D141" s="48">
        <f t="shared" si="2"/>
        <v>1.102992388</v>
      </c>
      <c r="E141" s="48">
        <f>IF(MONTH($A141)=12,2.333,1)*VLOOKUP($A141,'Página22'!$A$1:$S$27,COLUMN(),TRUE)</f>
        <v>1.052631579</v>
      </c>
      <c r="F141" s="48">
        <f>IF(MONTH($A141)=12,2.333,1)*VLOOKUP($A141,'Página22'!$A$1:$S$27,COLUMN(),TRUE)</f>
        <v>1</v>
      </c>
      <c r="G141" s="48">
        <f t="shared" si="8"/>
        <v>1.329300436</v>
      </c>
      <c r="H141" s="48">
        <f>IF(MONTH($A141)=12,2.333,1)*VLOOKUP($A141,'Página22'!$A$1:$S$27,COLUMN(),TRUE)</f>
        <v>1.048715383</v>
      </c>
      <c r="I141" s="48">
        <f t="shared" si="4"/>
        <v>1.15871216</v>
      </c>
      <c r="J141" s="48">
        <f>IF(MONTH($A141)=12,2.333,1)*VLOOKUP($A141,'Página22'!$A$1:$S$27,COLUMN(),TRUE)</f>
        <v>1.048715383</v>
      </c>
      <c r="K141" s="48">
        <f>IF(MONTH($A141)=12,2.333,1)*VLOOKUP($A141,'Página22'!$A$1:$S$27,COLUMN(),TRUE)</f>
        <v>1</v>
      </c>
      <c r="L141" s="48">
        <f>VLOOKUP($A141,'Página22'!$A$1:$S$27,COLUMN(),TRUE)</f>
        <v>0.8110598463</v>
      </c>
      <c r="M141" s="48">
        <f>VLOOKUP($A141,'Página22'!$A$1:$S$27,COLUMN(),TRUE)</f>
        <v>0.452530659</v>
      </c>
      <c r="N141" s="48">
        <f>VLOOKUP($A141,'Página22'!$A$1:$S$27,COLUMN(),TRUE)</f>
        <v>0.8110576661</v>
      </c>
      <c r="O141" s="48">
        <f>VLOOKUP($A141,'Página22'!$A$1:$S$27,COLUMN(),TRUE)</f>
        <v>0.3243718319</v>
      </c>
      <c r="P141" s="48">
        <f>VLOOKUP($A141,'Página22'!$A$1:$S$27,COLUMN(),TRUE)</f>
        <v>0.8251183179</v>
      </c>
      <c r="Q141" s="48">
        <f>VLOOKUP($A141,'Página22'!$A$1:$S$27,COLUMN(),TRUE)</f>
        <v>0.5171097355</v>
      </c>
      <c r="R141" s="48">
        <f>VLOOKUP($A141,'Página22'!$A$1:$S$27,COLUMN(),TRUE)</f>
        <v>0.8251164494</v>
      </c>
      <c r="S141" s="48">
        <f>VLOOKUP($A141,'Página22'!$A$1:$S$27,COLUMN(),TRUE)</f>
        <v>0.370661808</v>
      </c>
      <c r="T141" s="73">
        <f t="shared" si="5"/>
        <v>2027</v>
      </c>
      <c r="U141" s="73">
        <f t="shared" si="6"/>
        <v>8</v>
      </c>
    </row>
    <row r="142">
      <c r="A142" s="34">
        <v>46631.0</v>
      </c>
      <c r="B142" s="48">
        <f t="shared" si="7"/>
        <v>1.252277349</v>
      </c>
      <c r="C142" s="48">
        <f>IF(MONTH($A142)=12,2.333,1)*VLOOKUP($A142,'Página22'!$A$1:$S$27,COLUMN(),TRUE)</f>
        <v>1.052631579</v>
      </c>
      <c r="D142" s="48">
        <f t="shared" si="2"/>
        <v>1.102992388</v>
      </c>
      <c r="E142" s="48">
        <f>IF(MONTH($A142)=12,2.333,1)*VLOOKUP($A142,'Página22'!$A$1:$S$27,COLUMN(),TRUE)</f>
        <v>1.052631579</v>
      </c>
      <c r="F142" s="48">
        <f>IF(MONTH($A142)=12,2.333,1)*VLOOKUP($A142,'Página22'!$A$1:$S$27,COLUMN(),TRUE)</f>
        <v>1</v>
      </c>
      <c r="G142" s="48">
        <f t="shared" si="8"/>
        <v>1.329300436</v>
      </c>
      <c r="H142" s="48">
        <f>IF(MONTH($A142)=12,2.333,1)*VLOOKUP($A142,'Página22'!$A$1:$S$27,COLUMN(),TRUE)</f>
        <v>1.048715383</v>
      </c>
      <c r="I142" s="48">
        <f t="shared" si="4"/>
        <v>1.15871216</v>
      </c>
      <c r="J142" s="48">
        <f>IF(MONTH($A142)=12,2.333,1)*VLOOKUP($A142,'Página22'!$A$1:$S$27,COLUMN(),TRUE)</f>
        <v>1.048715383</v>
      </c>
      <c r="K142" s="48">
        <f>IF(MONTH($A142)=12,2.333,1)*VLOOKUP($A142,'Página22'!$A$1:$S$27,COLUMN(),TRUE)</f>
        <v>1</v>
      </c>
      <c r="L142" s="48">
        <f>VLOOKUP($A142,'Página22'!$A$1:$S$27,COLUMN(),TRUE)</f>
        <v>0.8110598463</v>
      </c>
      <c r="M142" s="48">
        <f>VLOOKUP($A142,'Página22'!$A$1:$S$27,COLUMN(),TRUE)</f>
        <v>0.452530659</v>
      </c>
      <c r="N142" s="48">
        <f>VLOOKUP($A142,'Página22'!$A$1:$S$27,COLUMN(),TRUE)</f>
        <v>0.8110576661</v>
      </c>
      <c r="O142" s="48">
        <f>VLOOKUP($A142,'Página22'!$A$1:$S$27,COLUMN(),TRUE)</f>
        <v>0.3243718319</v>
      </c>
      <c r="P142" s="48">
        <f>VLOOKUP($A142,'Página22'!$A$1:$S$27,COLUMN(),TRUE)</f>
        <v>0.8251183179</v>
      </c>
      <c r="Q142" s="48">
        <f>VLOOKUP($A142,'Página22'!$A$1:$S$27,COLUMN(),TRUE)</f>
        <v>0.5171097355</v>
      </c>
      <c r="R142" s="48">
        <f>VLOOKUP($A142,'Página22'!$A$1:$S$27,COLUMN(),TRUE)</f>
        <v>0.8251164494</v>
      </c>
      <c r="S142" s="48">
        <f>VLOOKUP($A142,'Página22'!$A$1:$S$27,COLUMN(),TRUE)</f>
        <v>0.370661808</v>
      </c>
      <c r="T142" s="73">
        <f t="shared" si="5"/>
        <v>2027</v>
      </c>
      <c r="U142" s="73">
        <f t="shared" si="6"/>
        <v>9</v>
      </c>
    </row>
    <row r="143">
      <c r="A143" s="34">
        <v>46661.0</v>
      </c>
      <c r="B143" s="48">
        <f t="shared" si="7"/>
        <v>1.252277349</v>
      </c>
      <c r="C143" s="48">
        <f>IF(MONTH($A143)=12,2.333,1)*VLOOKUP($A143,'Página22'!$A$1:$S$27,COLUMN(),TRUE)</f>
        <v>1.052631579</v>
      </c>
      <c r="D143" s="48">
        <f t="shared" si="2"/>
        <v>1.102992388</v>
      </c>
      <c r="E143" s="48">
        <f>IF(MONTH($A143)=12,2.333,1)*VLOOKUP($A143,'Página22'!$A$1:$S$27,COLUMN(),TRUE)</f>
        <v>1.052631579</v>
      </c>
      <c r="F143" s="48">
        <f>IF(MONTH($A143)=12,2.333,1)*VLOOKUP($A143,'Página22'!$A$1:$S$27,COLUMN(),TRUE)</f>
        <v>1</v>
      </c>
      <c r="G143" s="48">
        <f t="shared" si="8"/>
        <v>1.329300436</v>
      </c>
      <c r="H143" s="48">
        <f>IF(MONTH($A143)=12,2.333,1)*VLOOKUP($A143,'Página22'!$A$1:$S$27,COLUMN(),TRUE)</f>
        <v>1.048715383</v>
      </c>
      <c r="I143" s="48">
        <f t="shared" si="4"/>
        <v>1.15871216</v>
      </c>
      <c r="J143" s="48">
        <f>IF(MONTH($A143)=12,2.333,1)*VLOOKUP($A143,'Página22'!$A$1:$S$27,COLUMN(),TRUE)</f>
        <v>1.048715383</v>
      </c>
      <c r="K143" s="48">
        <f>IF(MONTH($A143)=12,2.333,1)*VLOOKUP($A143,'Página22'!$A$1:$S$27,COLUMN(),TRUE)</f>
        <v>1</v>
      </c>
      <c r="L143" s="48">
        <f>VLOOKUP($A143,'Página22'!$A$1:$S$27,COLUMN(),TRUE)</f>
        <v>0.8110598463</v>
      </c>
      <c r="M143" s="48">
        <f>VLOOKUP($A143,'Página22'!$A$1:$S$27,COLUMN(),TRUE)</f>
        <v>0.452530659</v>
      </c>
      <c r="N143" s="48">
        <f>VLOOKUP($A143,'Página22'!$A$1:$S$27,COLUMN(),TRUE)</f>
        <v>0.8110576661</v>
      </c>
      <c r="O143" s="48">
        <f>VLOOKUP($A143,'Página22'!$A$1:$S$27,COLUMN(),TRUE)</f>
        <v>0.3243718319</v>
      </c>
      <c r="P143" s="48">
        <f>VLOOKUP($A143,'Página22'!$A$1:$S$27,COLUMN(),TRUE)</f>
        <v>0.8251183179</v>
      </c>
      <c r="Q143" s="48">
        <f>VLOOKUP($A143,'Página22'!$A$1:$S$27,COLUMN(),TRUE)</f>
        <v>0.5171097355</v>
      </c>
      <c r="R143" s="48">
        <f>VLOOKUP($A143,'Página22'!$A$1:$S$27,COLUMN(),TRUE)</f>
        <v>0.8251164494</v>
      </c>
      <c r="S143" s="48">
        <f>VLOOKUP($A143,'Página22'!$A$1:$S$27,COLUMN(),TRUE)</f>
        <v>0.370661808</v>
      </c>
      <c r="T143" s="73">
        <f t="shared" si="5"/>
        <v>2027</v>
      </c>
      <c r="U143" s="73">
        <f t="shared" si="6"/>
        <v>10</v>
      </c>
    </row>
    <row r="144">
      <c r="A144" s="34">
        <v>46692.0</v>
      </c>
      <c r="B144" s="48">
        <f t="shared" si="7"/>
        <v>1.252277349</v>
      </c>
      <c r="C144" s="48">
        <f>IF(MONTH($A144)=12,2.333,1)*VLOOKUP($A144,'Página22'!$A$1:$S$27,COLUMN(),TRUE)</f>
        <v>1.052631579</v>
      </c>
      <c r="D144" s="48">
        <f t="shared" si="2"/>
        <v>1.102992388</v>
      </c>
      <c r="E144" s="48">
        <f>IF(MONTH($A144)=12,2.333,1)*VLOOKUP($A144,'Página22'!$A$1:$S$27,COLUMN(),TRUE)</f>
        <v>1.052631579</v>
      </c>
      <c r="F144" s="48">
        <f>IF(MONTH($A144)=12,2.333,1)*VLOOKUP($A144,'Página22'!$A$1:$S$27,COLUMN(),TRUE)</f>
        <v>1</v>
      </c>
      <c r="G144" s="48">
        <f t="shared" si="8"/>
        <v>1.329300436</v>
      </c>
      <c r="H144" s="48">
        <f>IF(MONTH($A144)=12,2.333,1)*VLOOKUP($A144,'Página22'!$A$1:$S$27,COLUMN(),TRUE)</f>
        <v>1.048715383</v>
      </c>
      <c r="I144" s="48">
        <f t="shared" si="4"/>
        <v>1.15871216</v>
      </c>
      <c r="J144" s="48">
        <f>IF(MONTH($A144)=12,2.333,1)*VLOOKUP($A144,'Página22'!$A$1:$S$27,COLUMN(),TRUE)</f>
        <v>1.048715383</v>
      </c>
      <c r="K144" s="48">
        <f>IF(MONTH($A144)=12,2.333,1)*VLOOKUP($A144,'Página22'!$A$1:$S$27,COLUMN(),TRUE)</f>
        <v>1</v>
      </c>
      <c r="L144" s="48">
        <f>VLOOKUP($A144,'Página22'!$A$1:$S$27,COLUMN(),TRUE)</f>
        <v>0.8110598463</v>
      </c>
      <c r="M144" s="48">
        <f>VLOOKUP($A144,'Página22'!$A$1:$S$27,COLUMN(),TRUE)</f>
        <v>0.452530659</v>
      </c>
      <c r="N144" s="48">
        <f>VLOOKUP($A144,'Página22'!$A$1:$S$27,COLUMN(),TRUE)</f>
        <v>0.8110576661</v>
      </c>
      <c r="O144" s="48">
        <f>VLOOKUP($A144,'Página22'!$A$1:$S$27,COLUMN(),TRUE)</f>
        <v>0.3243718319</v>
      </c>
      <c r="P144" s="48">
        <f>VLOOKUP($A144,'Página22'!$A$1:$S$27,COLUMN(),TRUE)</f>
        <v>0.8251183179</v>
      </c>
      <c r="Q144" s="48">
        <f>VLOOKUP($A144,'Página22'!$A$1:$S$27,COLUMN(),TRUE)</f>
        <v>0.5171097355</v>
      </c>
      <c r="R144" s="48">
        <f>VLOOKUP($A144,'Página22'!$A$1:$S$27,COLUMN(),TRUE)</f>
        <v>0.8251164494</v>
      </c>
      <c r="S144" s="48">
        <f>VLOOKUP($A144,'Página22'!$A$1:$S$27,COLUMN(),TRUE)</f>
        <v>0.370661808</v>
      </c>
      <c r="T144" s="73">
        <f t="shared" si="5"/>
        <v>2027</v>
      </c>
      <c r="U144" s="73">
        <f t="shared" si="6"/>
        <v>11</v>
      </c>
    </row>
    <row r="145">
      <c r="A145" s="34">
        <v>46722.0</v>
      </c>
      <c r="B145" s="48">
        <f t="shared" si="7"/>
        <v>2.921563055</v>
      </c>
      <c r="C145" s="48">
        <f>IF(MONTH($A145)=12,2.333,1)*VLOOKUP($A145,'Página22'!$A$1:$S$27,COLUMN(),TRUE)</f>
        <v>2.455789474</v>
      </c>
      <c r="D145" s="48">
        <f t="shared" si="2"/>
        <v>2.573281241</v>
      </c>
      <c r="E145" s="48">
        <f>IF(MONTH($A145)=12,2.333,1)*VLOOKUP($A145,'Página22'!$A$1:$S$27,COLUMN(),TRUE)</f>
        <v>2.455789474</v>
      </c>
      <c r="F145" s="48">
        <f>IF(MONTH($A145)=12,2.333,1)*VLOOKUP($A145,'Página22'!$A$1:$S$27,COLUMN(),TRUE)</f>
        <v>2.333</v>
      </c>
      <c r="G145" s="48">
        <f t="shared" si="8"/>
        <v>3.101257917</v>
      </c>
      <c r="H145" s="48">
        <f>IF(MONTH($A145)=12,2.333,1)*VLOOKUP($A145,'Página22'!$A$1:$S$27,COLUMN(),TRUE)</f>
        <v>2.446652989</v>
      </c>
      <c r="I145" s="48">
        <f t="shared" si="4"/>
        <v>2.703275469</v>
      </c>
      <c r="J145" s="48">
        <f>IF(MONTH($A145)=12,2.333,1)*VLOOKUP($A145,'Página22'!$A$1:$S$27,COLUMN(),TRUE)</f>
        <v>2.446652989</v>
      </c>
      <c r="K145" s="48">
        <f>IF(MONTH($A145)=12,2.333,1)*VLOOKUP($A145,'Página22'!$A$1:$S$27,COLUMN(),TRUE)</f>
        <v>2.333</v>
      </c>
      <c r="L145" s="48">
        <f>VLOOKUP($A145,'Página22'!$A$1:$S$27,COLUMN(),TRUE)</f>
        <v>0.8110598463</v>
      </c>
      <c r="M145" s="48">
        <f>VLOOKUP($A145,'Página22'!$A$1:$S$27,COLUMN(),TRUE)</f>
        <v>0.452530659</v>
      </c>
      <c r="N145" s="48">
        <f>VLOOKUP($A145,'Página22'!$A$1:$S$27,COLUMN(),TRUE)</f>
        <v>0.8110576661</v>
      </c>
      <c r="O145" s="48">
        <f>VLOOKUP($A145,'Página22'!$A$1:$S$27,COLUMN(),TRUE)</f>
        <v>0.3243718319</v>
      </c>
      <c r="P145" s="48">
        <f>VLOOKUP($A145,'Página22'!$A$1:$S$27,COLUMN(),TRUE)</f>
        <v>0.8251183179</v>
      </c>
      <c r="Q145" s="48">
        <f>VLOOKUP($A145,'Página22'!$A$1:$S$27,COLUMN(),TRUE)</f>
        <v>0.5171097355</v>
      </c>
      <c r="R145" s="48">
        <f>VLOOKUP($A145,'Página22'!$A$1:$S$27,COLUMN(),TRUE)</f>
        <v>0.8251164494</v>
      </c>
      <c r="S145" s="48">
        <f>VLOOKUP($A145,'Página22'!$A$1:$S$27,COLUMN(),TRUE)</f>
        <v>0.370661808</v>
      </c>
      <c r="T145" s="73">
        <f t="shared" si="5"/>
        <v>2027</v>
      </c>
      <c r="U145" s="73">
        <f t="shared" si="6"/>
        <v>12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11" width="12.0"/>
  </cols>
  <sheetData>
    <row r="1">
      <c r="A1" s="32" t="s">
        <v>97</v>
      </c>
      <c r="B1" s="33" t="str">
        <f>'Página23'!B1</f>
        <v>PGFN | Real (bruto)</v>
      </c>
      <c r="C1" s="33" t="str">
        <f>'Página23'!C1</f>
        <v>PGFN | Ideal (bruto)</v>
      </c>
      <c r="D1" s="33" t="str">
        <f>'Página23'!D1</f>
        <v>SERFB | Real (bruto)</v>
      </c>
      <c r="E1" s="33" t="str">
        <f>'Página23'!E1</f>
        <v>SERFB | Ideal (bruto)</v>
      </c>
      <c r="F1" s="33" t="str">
        <f>'Página23'!F1</f>
        <v>STN (bruto)</v>
      </c>
      <c r="G1" s="33" t="str">
        <f>'Página23'!G1</f>
        <v>PGFN | Real (líquido)</v>
      </c>
      <c r="H1" s="33" t="str">
        <f>'Página23'!H1</f>
        <v>PGFN | Ideal (líquido)</v>
      </c>
      <c r="I1" s="33" t="str">
        <f>'Página23'!I1</f>
        <v>SERFB | Real (líquido)</v>
      </c>
      <c r="J1" s="33" t="str">
        <f>'Página23'!J1</f>
        <v>SERFB | Ideal (líquido)</v>
      </c>
      <c r="K1" s="33" t="str">
        <f>'Página23'!K1</f>
        <v>STN (líquido)</v>
      </c>
    </row>
    <row r="2">
      <c r="A2" s="74">
        <v>2016.0</v>
      </c>
      <c r="B2" s="75">
        <f>SUMIF('Página23'!$T$2:$T$145,$A2,'Página23'!B$2:B$145)</f>
        <v>14.79241536</v>
      </c>
      <c r="C2" s="75">
        <f>SUMIF('Página23'!$T$2:$T$145,$A2,'Página23'!C$2:C$145)</f>
        <v>14.03473684</v>
      </c>
      <c r="D2" s="75">
        <f>SUMIF('Página23'!$T$2:$T$145,$A2,'Página23'!D$2:D$145)</f>
        <v>14.32520589</v>
      </c>
      <c r="E2" s="75">
        <f>SUMIF('Página23'!$T$2:$T$145,$A2,'Página23'!E$2:E$145)</f>
        <v>14.03473684</v>
      </c>
      <c r="F2" s="75">
        <f>SUMIF('Página23'!$T$2:$T$145,$A2,'Página23'!F$2:F$145)</f>
        <v>13.333</v>
      </c>
      <c r="G2" s="75">
        <f>SUMIF('Página23'!$T$2:$T$145,$A2,'Página23'!G$2:G$145)</f>
        <v>14.79749312</v>
      </c>
      <c r="H2" s="75">
        <f>SUMIF('Página23'!$T$2:$T$145,$A2,'Página23'!H$2:H$145)</f>
        <v>13.99413085</v>
      </c>
      <c r="I2" s="75">
        <f>SUMIF('Página23'!$T$2:$T$145,$A2,'Página23'!I$2:I$145)</f>
        <v>14.34264797</v>
      </c>
      <c r="J2" s="75">
        <f>SUMIF('Página23'!$T$2:$T$145,$A2,'Página23'!J$2:J$145)</f>
        <v>13.99413085</v>
      </c>
      <c r="K2" s="75">
        <f>SUMIF('Página23'!$T$2:$T$145,$A2,'Página23'!K$2:K$145)</f>
        <v>13.333</v>
      </c>
    </row>
    <row r="3">
      <c r="A3" s="74">
        <v>2017.0</v>
      </c>
      <c r="B3" s="75">
        <f>SUMIF('Página23'!$T$2:$T$145,$A3,'Página23'!B$2:B$145)</f>
        <v>15.59545625</v>
      </c>
      <c r="C3" s="75">
        <f>SUMIF('Página23'!$T$2:$T$145,$A3,'Página23'!C$2:C$145)</f>
        <v>14.03473684</v>
      </c>
      <c r="D3" s="75">
        <f>SUMIF('Página23'!$T$2:$T$145,$A3,'Página23'!D$2:D$145)</f>
        <v>15.26613311</v>
      </c>
      <c r="E3" s="75">
        <f>SUMIF('Página23'!$T$2:$T$145,$A3,'Página23'!E$2:E$145)</f>
        <v>14.03473684</v>
      </c>
      <c r="F3" s="75">
        <f>SUMIF('Página23'!$T$2:$T$145,$A3,'Página23'!F$2:F$145)</f>
        <v>13.333</v>
      </c>
      <c r="G3" s="75">
        <f>SUMIF('Página23'!$T$2:$T$145,$A3,'Página23'!G$2:G$145)</f>
        <v>15.68896414</v>
      </c>
      <c r="H3" s="75">
        <f>SUMIF('Página23'!$T$2:$T$145,$A3,'Página23'!H$2:H$145)</f>
        <v>13.99764116</v>
      </c>
      <c r="I3" s="75">
        <f>SUMIF('Página23'!$T$2:$T$145,$A3,'Página23'!I$2:I$145)</f>
        <v>15.33850251</v>
      </c>
      <c r="J3" s="75">
        <f>SUMIF('Página23'!$T$2:$T$145,$A3,'Página23'!J$2:J$145)</f>
        <v>13.99764116</v>
      </c>
      <c r="K3" s="75">
        <f>SUMIF('Página23'!$T$2:$T$145,$A3,'Página23'!K$2:K$145)</f>
        <v>13.333</v>
      </c>
    </row>
    <row r="4">
      <c r="A4" s="74">
        <v>2018.0</v>
      </c>
      <c r="B4" s="75">
        <f>SUMIF('Página23'!$T$2:$T$145,$A4,'Página23'!B$2:B$145)</f>
        <v>16.58559823</v>
      </c>
      <c r="C4" s="75">
        <f>SUMIF('Página23'!$T$2:$T$145,$A4,'Página23'!C$2:C$145)</f>
        <v>14.03473684</v>
      </c>
      <c r="D4" s="75">
        <f>SUMIF('Página23'!$T$2:$T$145,$A4,'Página23'!D$2:D$145)</f>
        <v>14.92922482</v>
      </c>
      <c r="E4" s="75">
        <f>SUMIF('Página23'!$T$2:$T$145,$A4,'Página23'!E$2:E$145)</f>
        <v>14.03473684</v>
      </c>
      <c r="F4" s="75">
        <f>SUMIF('Página23'!$T$2:$T$145,$A4,'Página23'!F$2:F$145)</f>
        <v>13.333</v>
      </c>
      <c r="G4" s="75">
        <f>SUMIF('Página23'!$T$2:$T$145,$A4,'Página23'!G$2:G$145)</f>
        <v>16.78261153</v>
      </c>
      <c r="H4" s="75">
        <f>SUMIF('Página23'!$T$2:$T$145,$A4,'Página23'!H$2:H$145)</f>
        <v>13.99984173</v>
      </c>
      <c r="I4" s="75">
        <f>SUMIF('Página23'!$T$2:$T$145,$A4,'Página23'!I$2:I$145)</f>
        <v>15.01406918</v>
      </c>
      <c r="J4" s="75">
        <f>SUMIF('Página23'!$T$2:$T$145,$A4,'Página23'!J$2:J$145)</f>
        <v>13.99984173</v>
      </c>
      <c r="K4" s="75">
        <f>SUMIF('Página23'!$T$2:$T$145,$A4,'Página23'!K$2:K$145)</f>
        <v>13.333</v>
      </c>
    </row>
    <row r="5">
      <c r="A5" s="74">
        <v>2019.0</v>
      </c>
      <c r="B5" s="75">
        <f>SUMIF('Página23'!$T$2:$T$145,$A5,'Página23'!B$2:B$145)</f>
        <v>16.46473227</v>
      </c>
      <c r="C5" s="75">
        <f>SUMIF('Página23'!$T$2:$T$145,$A5,'Página23'!C$2:C$145)</f>
        <v>14.03473684</v>
      </c>
      <c r="D5" s="75">
        <f>SUMIF('Página23'!$T$2:$T$145,$A5,'Página23'!D$2:D$145)</f>
        <v>14.6161161</v>
      </c>
      <c r="E5" s="75">
        <f>SUMIF('Página23'!$T$2:$T$145,$A5,'Página23'!E$2:E$145)</f>
        <v>14.03473684</v>
      </c>
      <c r="F5" s="75">
        <f>SUMIF('Página23'!$T$2:$T$145,$A5,'Página23'!F$2:F$145)</f>
        <v>13.333</v>
      </c>
      <c r="G5" s="75">
        <f>SUMIF('Página23'!$T$2:$T$145,$A5,'Página23'!G$2:G$145)</f>
        <v>16.69048947</v>
      </c>
      <c r="H5" s="75">
        <f>SUMIF('Página23'!$T$2:$T$145,$A5,'Página23'!H$2:H$145)</f>
        <v>14.00181108</v>
      </c>
      <c r="I5" s="75">
        <f>SUMIF('Página23'!$T$2:$T$145,$A5,'Página23'!I$2:I$145)</f>
        <v>14.71084986</v>
      </c>
      <c r="J5" s="75">
        <f>SUMIF('Página23'!$T$2:$T$145,$A5,'Página23'!J$2:J$145)</f>
        <v>14.00181108</v>
      </c>
      <c r="K5" s="75">
        <f>SUMIF('Página23'!$T$2:$T$145,$A5,'Página23'!K$2:K$145)</f>
        <v>13.333</v>
      </c>
    </row>
    <row r="6">
      <c r="A6" s="74">
        <v>2020.0</v>
      </c>
      <c r="B6" s="75">
        <f>SUMIF('Página23'!$T$2:$T$145,$A6,'Página23'!B$2:B$145)</f>
        <v>16.85087742</v>
      </c>
      <c r="C6" s="75">
        <f>SUMIF('Página23'!$T$2:$T$145,$A6,'Página23'!C$2:C$145)</f>
        <v>14.03473684</v>
      </c>
      <c r="D6" s="75">
        <f>SUMIF('Página23'!$T$2:$T$145,$A6,'Página23'!D$2:D$145)</f>
        <v>14.6161161</v>
      </c>
      <c r="E6" s="75">
        <f>SUMIF('Página23'!$T$2:$T$145,$A6,'Página23'!E$2:E$145)</f>
        <v>14.03473684</v>
      </c>
      <c r="F6" s="75">
        <f>SUMIF('Página23'!$T$2:$T$145,$A6,'Página23'!F$2:F$145)</f>
        <v>13.333</v>
      </c>
      <c r="G6" s="75">
        <f>SUMIF('Página23'!$T$2:$T$145,$A6,'Página23'!G$2:G$145)</f>
        <v>17.27731303</v>
      </c>
      <c r="H6" s="75">
        <f>SUMIF('Página23'!$T$2:$T$145,$A6,'Página23'!H$2:H$145)</f>
        <v>13.97814283</v>
      </c>
      <c r="I6" s="75">
        <f>SUMIF('Página23'!$T$2:$T$145,$A6,'Página23'!I$2:I$145)</f>
        <v>14.77540388</v>
      </c>
      <c r="J6" s="75">
        <f>SUMIF('Página23'!$T$2:$T$145,$A6,'Página23'!J$2:J$145)</f>
        <v>13.97814283</v>
      </c>
      <c r="K6" s="75">
        <f>SUMIF('Página23'!$T$2:$T$145,$A6,'Página23'!K$2:K$145)</f>
        <v>13.333</v>
      </c>
    </row>
    <row r="7">
      <c r="A7" s="74">
        <v>2021.0</v>
      </c>
      <c r="B7" s="75">
        <f>SUMIF('Página23'!$T$2:$T$145,$A7,'Página23'!B$2:B$145)</f>
        <v>17.50725466</v>
      </c>
      <c r="C7" s="75">
        <f>SUMIF('Página23'!$T$2:$T$145,$A7,'Página23'!C$2:C$145)</f>
        <v>14.03473684</v>
      </c>
      <c r="D7" s="75">
        <f>SUMIF('Página23'!$T$2:$T$145,$A7,'Página23'!D$2:D$145)</f>
        <v>14.6161161</v>
      </c>
      <c r="E7" s="75">
        <f>SUMIF('Página23'!$T$2:$T$145,$A7,'Página23'!E$2:E$145)</f>
        <v>14.03473684</v>
      </c>
      <c r="F7" s="75">
        <f>SUMIF('Página23'!$T$2:$T$145,$A7,'Página23'!F$2:F$145)</f>
        <v>13.333</v>
      </c>
      <c r="G7" s="75">
        <f>SUMIF('Página23'!$T$2:$T$145,$A7,'Página23'!G$2:G$145)</f>
        <v>18.03744038</v>
      </c>
      <c r="H7" s="75">
        <f>SUMIF('Página23'!$T$2:$T$145,$A7,'Página23'!H$2:H$145)</f>
        <v>13.97266487</v>
      </c>
      <c r="I7" s="75">
        <f>SUMIF('Página23'!$T$2:$T$145,$A7,'Página23'!I$2:I$145)</f>
        <v>14.7838575</v>
      </c>
      <c r="J7" s="75">
        <f>SUMIF('Página23'!$T$2:$T$145,$A7,'Página23'!J$2:J$145)</f>
        <v>13.97266487</v>
      </c>
      <c r="K7" s="75">
        <f>SUMIF('Página23'!$T$2:$T$145,$A7,'Página23'!K$2:K$145)</f>
        <v>13.333</v>
      </c>
    </row>
    <row r="8">
      <c r="A8" s="74">
        <v>2022.0</v>
      </c>
      <c r="B8" s="75">
        <f>SUMIF('Página23'!$T$2:$T$145,$A8,'Página23'!B$2:B$145)</f>
        <v>18.91810741</v>
      </c>
      <c r="C8" s="75">
        <f>SUMIF('Página23'!$T$2:$T$145,$A8,'Página23'!C$2:C$145)</f>
        <v>14.03473684</v>
      </c>
      <c r="D8" s="75">
        <f>SUMIF('Página23'!$T$2:$T$145,$A8,'Página23'!D$2:D$145)</f>
        <v>14.6161161</v>
      </c>
      <c r="E8" s="75">
        <f>SUMIF('Página23'!$T$2:$T$145,$A8,'Página23'!E$2:E$145)</f>
        <v>14.03473684</v>
      </c>
      <c r="F8" s="75">
        <f>SUMIF('Página23'!$T$2:$T$145,$A8,'Página23'!F$2:F$145)</f>
        <v>13.333</v>
      </c>
      <c r="G8" s="75">
        <f>SUMIF('Página23'!$T$2:$T$145,$A8,'Página23'!G$2:G$145)</f>
        <v>19.60024734</v>
      </c>
      <c r="H8" s="75">
        <f>SUMIF('Página23'!$T$2:$T$145,$A8,'Página23'!H$2:H$145)</f>
        <v>13.97013082</v>
      </c>
      <c r="I8" s="75">
        <f>SUMIF('Página23'!$T$2:$T$145,$A8,'Página23'!I$2:I$145)</f>
        <v>14.7781099</v>
      </c>
      <c r="J8" s="75">
        <f>SUMIF('Página23'!$T$2:$T$145,$A8,'Página23'!J$2:J$145)</f>
        <v>13.97013082</v>
      </c>
      <c r="K8" s="75">
        <f>SUMIF('Página23'!$T$2:$T$145,$A8,'Página23'!K$2:K$145)</f>
        <v>13.333</v>
      </c>
    </row>
    <row r="9">
      <c r="A9" s="74">
        <v>2023.0</v>
      </c>
      <c r="B9" s="75">
        <f>SUMIF('Página23'!$T$2:$T$145,$A9,'Página23'!B$2:B$145)</f>
        <v>18.71102604</v>
      </c>
      <c r="C9" s="75">
        <f>SUMIF('Página23'!$T$2:$T$145,$A9,'Página23'!C$2:C$145)</f>
        <v>14.03473684</v>
      </c>
      <c r="D9" s="75">
        <f>SUMIF('Página23'!$T$2:$T$145,$A9,'Página23'!D$2:D$145)</f>
        <v>14.54009687</v>
      </c>
      <c r="E9" s="75">
        <f>SUMIF('Página23'!$T$2:$T$145,$A9,'Página23'!E$2:E$145)</f>
        <v>14.03473684</v>
      </c>
      <c r="F9" s="75">
        <f>SUMIF('Página23'!$T$2:$T$145,$A9,'Página23'!F$2:F$145)</f>
        <v>13.333</v>
      </c>
      <c r="G9" s="75">
        <f>SUMIF('Página23'!$T$2:$T$145,$A9,'Página23'!G$2:G$145)</f>
        <v>19.38106922</v>
      </c>
      <c r="H9" s="75">
        <f>SUMIF('Página23'!$T$2:$T$145,$A9,'Página23'!H$2:H$145)</f>
        <v>13.97163143</v>
      </c>
      <c r="I9" s="75">
        <f>SUMIF('Página23'!$T$2:$T$145,$A9,'Página23'!I$2:I$145)</f>
        <v>14.69592092</v>
      </c>
      <c r="J9" s="75">
        <f>SUMIF('Página23'!$T$2:$T$145,$A9,'Página23'!J$2:J$145)</f>
        <v>13.97163143</v>
      </c>
      <c r="K9" s="75">
        <f>SUMIF('Página23'!$T$2:$T$145,$A9,'Página23'!K$2:K$145)</f>
        <v>13.333</v>
      </c>
    </row>
    <row r="10">
      <c r="A10" s="74">
        <v>2024.0</v>
      </c>
      <c r="B10" s="75">
        <f>SUMIF('Página23'!$T$2:$T$145,$A10,'Página23'!B$2:B$145)</f>
        <v>19.4321424</v>
      </c>
      <c r="C10" s="75">
        <f>SUMIF('Página23'!$T$2:$T$145,$A10,'Página23'!C$2:C$145)</f>
        <v>14.03473684</v>
      </c>
      <c r="D10" s="75">
        <f>SUMIF('Página23'!$T$2:$T$145,$A10,'Página23'!D$2:D$145)</f>
        <v>15.16113599</v>
      </c>
      <c r="E10" s="75">
        <f>SUMIF('Página23'!$T$2:$T$145,$A10,'Página23'!E$2:E$145)</f>
        <v>14.03473684</v>
      </c>
      <c r="F10" s="75">
        <f>SUMIF('Página23'!$T$2:$T$145,$A10,'Página23'!F$2:F$145)</f>
        <v>13.333</v>
      </c>
      <c r="G10" s="75">
        <f>SUMIF('Página23'!$T$2:$T$145,$A10,'Página23'!G$2:G$145)</f>
        <v>20.19237881</v>
      </c>
      <c r="H10" s="75">
        <f>SUMIF('Página23'!$T$2:$T$145,$A10,'Página23'!H$2:H$145)</f>
        <v>13.97162148</v>
      </c>
      <c r="I10" s="75">
        <f>SUMIF('Página23'!$T$2:$T$145,$A10,'Página23'!I$2:I$145)</f>
        <v>15.39380202</v>
      </c>
      <c r="J10" s="75">
        <f>SUMIF('Página23'!$T$2:$T$145,$A10,'Página23'!J$2:J$145)</f>
        <v>13.97162148</v>
      </c>
      <c r="K10" s="75">
        <f>SUMIF('Página23'!$T$2:$T$145,$A10,'Página23'!K$2:K$145)</f>
        <v>13.333</v>
      </c>
    </row>
    <row r="11">
      <c r="A11" s="74">
        <v>2025.0</v>
      </c>
      <c r="B11" s="75">
        <f>SUMIF('Página23'!$T$2:$T$145,$A11,'Página23'!B$2:B$145)</f>
        <v>18.44783222</v>
      </c>
      <c r="C11" s="75">
        <f>SUMIF('Página23'!$T$2:$T$145,$A11,'Página23'!C$2:C$145)</f>
        <v>14.03473684</v>
      </c>
      <c r="D11" s="75">
        <f>SUMIF('Página23'!$T$2:$T$145,$A11,'Página23'!D$2:D$145)</f>
        <v>14.47739887</v>
      </c>
      <c r="E11" s="75">
        <f>SUMIF('Página23'!$T$2:$T$145,$A11,'Página23'!E$2:E$145)</f>
        <v>14.03473684</v>
      </c>
      <c r="F11" s="75">
        <f>SUMIF('Página23'!$T$2:$T$145,$A11,'Página23'!F$2:F$145)</f>
        <v>13.333</v>
      </c>
      <c r="G11" s="75">
        <f>SUMIF('Página23'!$T$2:$T$145,$A11,'Página23'!G$2:G$145)</f>
        <v>19.41928616</v>
      </c>
      <c r="H11" s="75">
        <f>SUMIF('Página23'!$T$2:$T$145,$A11,'Página23'!H$2:H$145)</f>
        <v>13.97729498</v>
      </c>
      <c r="I11" s="75">
        <f>SUMIF('Página23'!$T$2:$T$145,$A11,'Página23'!I$2:I$145)</f>
        <v>14.91877163</v>
      </c>
      <c r="J11" s="75">
        <f>SUMIF('Página23'!$T$2:$T$145,$A11,'Página23'!J$2:J$145)</f>
        <v>13.97729498</v>
      </c>
      <c r="K11" s="75">
        <f>SUMIF('Página23'!$T$2:$T$145,$A11,'Página23'!K$2:K$145)</f>
        <v>13.333</v>
      </c>
    </row>
    <row r="12">
      <c r="A12" s="74">
        <v>2026.0</v>
      </c>
      <c r="B12" s="75">
        <f>SUMIF('Página23'!$T$2:$T$145,$A12,'Página23'!B$2:B$145)</f>
        <v>17.10628062</v>
      </c>
      <c r="C12" s="75">
        <f>SUMIF('Página23'!$T$2:$T$145,$A12,'Página23'!C$2:C$145)</f>
        <v>14.03473684</v>
      </c>
      <c r="D12" s="75">
        <f>SUMIF('Página23'!$T$2:$T$145,$A12,'Página23'!D$2:D$145)</f>
        <v>14.5649483</v>
      </c>
      <c r="E12" s="75">
        <f>SUMIF('Página23'!$T$2:$T$145,$A12,'Página23'!E$2:E$145)</f>
        <v>14.03473684</v>
      </c>
      <c r="F12" s="75">
        <f>SUMIF('Página23'!$T$2:$T$145,$A12,'Página23'!F$2:F$145)</f>
        <v>13.333</v>
      </c>
      <c r="G12" s="75">
        <f>SUMIF('Página23'!$T$2:$T$145,$A12,'Página23'!G$2:G$145)</f>
        <v>18.1228299</v>
      </c>
      <c r="H12" s="75">
        <f>SUMIF('Página23'!$T$2:$T$145,$A12,'Página23'!H$2:H$145)</f>
        <v>13.98134605</v>
      </c>
      <c r="I12" s="75">
        <f>SUMIF('Página23'!$T$2:$T$145,$A12,'Página23'!I$2:I$145)</f>
        <v>15.22708897</v>
      </c>
      <c r="J12" s="75">
        <f>SUMIF('Página23'!$T$2:$T$145,$A12,'Página23'!J$2:J$145)</f>
        <v>13.98134605</v>
      </c>
      <c r="K12" s="75">
        <f>SUMIF('Página23'!$T$2:$T$145,$A12,'Página23'!K$2:K$145)</f>
        <v>13.333</v>
      </c>
    </row>
    <row r="13">
      <c r="A13" s="74">
        <v>2027.0</v>
      </c>
      <c r="B13" s="75">
        <f>SUMIF('Página23'!$T$2:$T$145,$A13,'Página23'!B$2:B$145)</f>
        <v>16.6966139</v>
      </c>
      <c r="C13" s="75">
        <f>SUMIF('Página23'!$T$2:$T$145,$A13,'Página23'!C$2:C$145)</f>
        <v>14.03473684</v>
      </c>
      <c r="D13" s="75">
        <f>SUMIF('Página23'!$T$2:$T$145,$A13,'Página23'!D$2:D$145)</f>
        <v>14.69632532</v>
      </c>
      <c r="E13" s="75">
        <f>SUMIF('Página23'!$T$2:$T$145,$A13,'Página23'!E$2:E$145)</f>
        <v>14.03473684</v>
      </c>
      <c r="F13" s="75">
        <f>SUMIF('Página23'!$T$2:$T$145,$A13,'Página23'!F$2:F$145)</f>
        <v>13.333</v>
      </c>
      <c r="G13" s="75">
        <f>SUMIF('Página23'!$T$2:$T$145,$A13,'Página23'!G$2:G$145)</f>
        <v>17.72356271</v>
      </c>
      <c r="H13" s="75">
        <f>SUMIF('Página23'!$T$2:$T$145,$A13,'Página23'!H$2:H$145)</f>
        <v>13.98252221</v>
      </c>
      <c r="I13" s="75">
        <f>SUMIF('Página23'!$T$2:$T$145,$A13,'Página23'!I$2:I$145)</f>
        <v>15.43782821</v>
      </c>
      <c r="J13" s="75">
        <f>SUMIF('Página23'!$T$2:$T$145,$A13,'Página23'!J$2:J$145)</f>
        <v>13.98252221</v>
      </c>
      <c r="K13" s="75">
        <f>SUMIF('Página23'!$T$2:$T$145,$A13,'Página23'!K$2:K$145)</f>
        <v>13.333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9.63"/>
    <col customWidth="1" min="3" max="3" width="10.0"/>
    <col customWidth="1" min="4" max="4" width="9.63"/>
    <col customWidth="1" min="5" max="5" width="15.75"/>
  </cols>
  <sheetData>
    <row r="1">
      <c r="A1" s="32" t="s">
        <v>97</v>
      </c>
      <c r="B1" s="33" t="s">
        <v>104</v>
      </c>
      <c r="C1" s="33" t="s">
        <v>105</v>
      </c>
      <c r="D1" s="33" t="s">
        <v>106</v>
      </c>
      <c r="E1" s="32" t="s">
        <v>101</v>
      </c>
    </row>
    <row r="2">
      <c r="A2" s="74">
        <v>2016.0</v>
      </c>
      <c r="B2" s="75">
        <f>'Página24'!F2</f>
        <v>13.333</v>
      </c>
      <c r="C2" s="75">
        <f>'Página24'!D2</f>
        <v>14.32520589</v>
      </c>
      <c r="D2" s="75">
        <f>'Página24'!B2</f>
        <v>14.79241536</v>
      </c>
      <c r="E2" s="77" t="s">
        <v>116</v>
      </c>
    </row>
    <row r="3">
      <c r="A3" s="74">
        <v>2017.0</v>
      </c>
      <c r="B3" s="75">
        <f>'Página24'!F3</f>
        <v>13.333</v>
      </c>
      <c r="C3" s="75">
        <f>'Página24'!D3</f>
        <v>15.26613311</v>
      </c>
      <c r="D3" s="75">
        <f>'Página24'!B3</f>
        <v>15.59545625</v>
      </c>
      <c r="E3" s="77" t="str">
        <f t="shared" ref="E3:E13" si="1">E2</f>
        <v>Real (bruto)</v>
      </c>
    </row>
    <row r="4">
      <c r="A4" s="74">
        <v>2018.0</v>
      </c>
      <c r="B4" s="75">
        <f>'Página24'!F4</f>
        <v>13.333</v>
      </c>
      <c r="C4" s="75">
        <f>'Página24'!D4</f>
        <v>14.92922482</v>
      </c>
      <c r="D4" s="75">
        <f>'Página24'!B4</f>
        <v>16.58559823</v>
      </c>
      <c r="E4" s="77" t="str">
        <f t="shared" si="1"/>
        <v>Real (bruto)</v>
      </c>
    </row>
    <row r="5">
      <c r="A5" s="74">
        <v>2019.0</v>
      </c>
      <c r="B5" s="75">
        <f>'Página24'!F5</f>
        <v>13.333</v>
      </c>
      <c r="C5" s="75">
        <f>'Página24'!D5</f>
        <v>14.6161161</v>
      </c>
      <c r="D5" s="75">
        <f>'Página24'!B5</f>
        <v>16.46473227</v>
      </c>
      <c r="E5" s="77" t="str">
        <f t="shared" si="1"/>
        <v>Real (bruto)</v>
      </c>
    </row>
    <row r="6">
      <c r="A6" s="74">
        <v>2020.0</v>
      </c>
      <c r="B6" s="75">
        <f>'Página24'!F6</f>
        <v>13.333</v>
      </c>
      <c r="C6" s="75">
        <f>'Página24'!D6</f>
        <v>14.6161161</v>
      </c>
      <c r="D6" s="75">
        <f>'Página24'!B6</f>
        <v>16.85087742</v>
      </c>
      <c r="E6" s="77" t="str">
        <f t="shared" si="1"/>
        <v>Real (bruto)</v>
      </c>
    </row>
    <row r="7">
      <c r="A7" s="74">
        <v>2021.0</v>
      </c>
      <c r="B7" s="75">
        <f>'Página24'!F7</f>
        <v>13.333</v>
      </c>
      <c r="C7" s="75">
        <f>'Página24'!D7</f>
        <v>14.6161161</v>
      </c>
      <c r="D7" s="75">
        <f>'Página24'!B7</f>
        <v>17.50725466</v>
      </c>
      <c r="E7" s="77" t="str">
        <f t="shared" si="1"/>
        <v>Real (bruto)</v>
      </c>
    </row>
    <row r="8">
      <c r="A8" s="74">
        <v>2022.0</v>
      </c>
      <c r="B8" s="75">
        <f>'Página24'!F8</f>
        <v>13.333</v>
      </c>
      <c r="C8" s="75">
        <f>'Página24'!D8</f>
        <v>14.6161161</v>
      </c>
      <c r="D8" s="75">
        <f>'Página24'!B8</f>
        <v>18.91810741</v>
      </c>
      <c r="E8" s="77" t="str">
        <f t="shared" si="1"/>
        <v>Real (bruto)</v>
      </c>
    </row>
    <row r="9">
      <c r="A9" s="74">
        <v>2023.0</v>
      </c>
      <c r="B9" s="75">
        <f>'Página24'!F9</f>
        <v>13.333</v>
      </c>
      <c r="C9" s="75">
        <f>'Página24'!D9</f>
        <v>14.54009687</v>
      </c>
      <c r="D9" s="75">
        <f>'Página24'!B9</f>
        <v>18.71102604</v>
      </c>
      <c r="E9" s="77" t="str">
        <f t="shared" si="1"/>
        <v>Real (bruto)</v>
      </c>
    </row>
    <row r="10">
      <c r="A10" s="74">
        <v>2024.0</v>
      </c>
      <c r="B10" s="75">
        <f>'Página24'!F10</f>
        <v>13.333</v>
      </c>
      <c r="C10" s="75">
        <f>'Página24'!D10</f>
        <v>15.16113599</v>
      </c>
      <c r="D10" s="75">
        <f>'Página24'!B10</f>
        <v>19.4321424</v>
      </c>
      <c r="E10" s="77" t="str">
        <f t="shared" si="1"/>
        <v>Real (bruto)</v>
      </c>
    </row>
    <row r="11">
      <c r="A11" s="74">
        <v>2025.0</v>
      </c>
      <c r="B11" s="75">
        <f>'Página24'!F11</f>
        <v>13.333</v>
      </c>
      <c r="C11" s="75">
        <f>'Página24'!D11</f>
        <v>14.47739887</v>
      </c>
      <c r="D11" s="75">
        <f>'Página24'!B11</f>
        <v>18.44783222</v>
      </c>
      <c r="E11" s="77" t="str">
        <f t="shared" si="1"/>
        <v>Real (bruto)</v>
      </c>
    </row>
    <row r="12">
      <c r="A12" s="74">
        <v>2026.0</v>
      </c>
      <c r="B12" s="75">
        <f>'Página24'!F12</f>
        <v>13.333</v>
      </c>
      <c r="C12" s="75">
        <f>'Página24'!D12</f>
        <v>14.5649483</v>
      </c>
      <c r="D12" s="75">
        <f>'Página24'!B12</f>
        <v>17.10628062</v>
      </c>
      <c r="E12" s="77" t="str">
        <f t="shared" si="1"/>
        <v>Real (bruto)</v>
      </c>
    </row>
    <row r="13">
      <c r="A13" s="74">
        <v>2027.0</v>
      </c>
      <c r="B13" s="75">
        <f>'Página24'!F13</f>
        <v>13.333</v>
      </c>
      <c r="C13" s="75">
        <f>'Página24'!D13</f>
        <v>14.69632532</v>
      </c>
      <c r="D13" s="75">
        <f>'Página24'!B13</f>
        <v>16.6966139</v>
      </c>
      <c r="E13" s="77" t="str">
        <f t="shared" si="1"/>
        <v>Real (bruto)</v>
      </c>
    </row>
    <row r="14">
      <c r="A14" s="74">
        <f t="shared" ref="A14:A49" si="2">A2</f>
        <v>2016</v>
      </c>
      <c r="B14" s="83">
        <f>'Página24'!K2</f>
        <v>13.333</v>
      </c>
      <c r="C14" s="83">
        <f>'Página24'!I2</f>
        <v>14.34264797</v>
      </c>
      <c r="D14" s="83">
        <f>'Página24'!G2</f>
        <v>14.79749312</v>
      </c>
      <c r="E14" s="78" t="s">
        <v>117</v>
      </c>
    </row>
    <row r="15">
      <c r="A15" s="74">
        <f t="shared" si="2"/>
        <v>2017</v>
      </c>
      <c r="B15" s="83">
        <f>'Página24'!K3</f>
        <v>13.333</v>
      </c>
      <c r="C15" s="83">
        <f>'Página24'!I3</f>
        <v>15.33850251</v>
      </c>
      <c r="D15" s="83">
        <f>'Página24'!G3</f>
        <v>15.68896414</v>
      </c>
      <c r="E15" s="78" t="str">
        <f t="shared" ref="E15:E25" si="3">E14</f>
        <v>Real (líquido)</v>
      </c>
    </row>
    <row r="16">
      <c r="A16" s="74">
        <f t="shared" si="2"/>
        <v>2018</v>
      </c>
      <c r="B16" s="83">
        <f>'Página24'!K4</f>
        <v>13.333</v>
      </c>
      <c r="C16" s="83">
        <f>'Página24'!I4</f>
        <v>15.01406918</v>
      </c>
      <c r="D16" s="83">
        <f>'Página24'!G4</f>
        <v>16.78261153</v>
      </c>
      <c r="E16" s="78" t="str">
        <f t="shared" si="3"/>
        <v>Real (líquido)</v>
      </c>
    </row>
    <row r="17">
      <c r="A17" s="74">
        <f t="shared" si="2"/>
        <v>2019</v>
      </c>
      <c r="B17" s="83">
        <f>'Página24'!K5</f>
        <v>13.333</v>
      </c>
      <c r="C17" s="83">
        <f>'Página24'!I5</f>
        <v>14.71084986</v>
      </c>
      <c r="D17" s="83">
        <f>'Página24'!G5</f>
        <v>16.69048947</v>
      </c>
      <c r="E17" s="78" t="str">
        <f t="shared" si="3"/>
        <v>Real (líquido)</v>
      </c>
    </row>
    <row r="18">
      <c r="A18" s="74">
        <f t="shared" si="2"/>
        <v>2020</v>
      </c>
      <c r="B18" s="83">
        <f>'Página24'!K6</f>
        <v>13.333</v>
      </c>
      <c r="C18" s="83">
        <f>'Página24'!I6</f>
        <v>14.77540388</v>
      </c>
      <c r="D18" s="83">
        <f>'Página24'!G6</f>
        <v>17.27731303</v>
      </c>
      <c r="E18" s="78" t="str">
        <f t="shared" si="3"/>
        <v>Real (líquido)</v>
      </c>
    </row>
    <row r="19">
      <c r="A19" s="74">
        <f t="shared" si="2"/>
        <v>2021</v>
      </c>
      <c r="B19" s="83">
        <f>'Página24'!K7</f>
        <v>13.333</v>
      </c>
      <c r="C19" s="83">
        <f>'Página24'!I7</f>
        <v>14.7838575</v>
      </c>
      <c r="D19" s="83">
        <f>'Página24'!G7</f>
        <v>18.03744038</v>
      </c>
      <c r="E19" s="78" t="str">
        <f t="shared" si="3"/>
        <v>Real (líquido)</v>
      </c>
    </row>
    <row r="20">
      <c r="A20" s="74">
        <f t="shared" si="2"/>
        <v>2022</v>
      </c>
      <c r="B20" s="83">
        <f>'Página24'!K8</f>
        <v>13.333</v>
      </c>
      <c r="C20" s="83">
        <f>'Página24'!I8</f>
        <v>14.7781099</v>
      </c>
      <c r="D20" s="83">
        <f>'Página24'!G8</f>
        <v>19.60024734</v>
      </c>
      <c r="E20" s="78" t="str">
        <f t="shared" si="3"/>
        <v>Real (líquido)</v>
      </c>
    </row>
    <row r="21">
      <c r="A21" s="74">
        <f t="shared" si="2"/>
        <v>2023</v>
      </c>
      <c r="B21" s="83">
        <f>'Página24'!K9</f>
        <v>13.333</v>
      </c>
      <c r="C21" s="83">
        <f>'Página24'!I9</f>
        <v>14.69592092</v>
      </c>
      <c r="D21" s="83">
        <f>'Página24'!G9</f>
        <v>19.38106922</v>
      </c>
      <c r="E21" s="78" t="str">
        <f t="shared" si="3"/>
        <v>Real (líquido)</v>
      </c>
    </row>
    <row r="22">
      <c r="A22" s="74">
        <f t="shared" si="2"/>
        <v>2024</v>
      </c>
      <c r="B22" s="83">
        <f>'Página24'!K10</f>
        <v>13.333</v>
      </c>
      <c r="C22" s="83">
        <f>'Página24'!I10</f>
        <v>15.39380202</v>
      </c>
      <c r="D22" s="83">
        <f>'Página24'!G10</f>
        <v>20.19237881</v>
      </c>
      <c r="E22" s="78" t="str">
        <f t="shared" si="3"/>
        <v>Real (líquido)</v>
      </c>
    </row>
    <row r="23">
      <c r="A23" s="74">
        <f t="shared" si="2"/>
        <v>2025</v>
      </c>
      <c r="B23" s="83">
        <f>'Página24'!K11</f>
        <v>13.333</v>
      </c>
      <c r="C23" s="83">
        <f>'Página24'!I11</f>
        <v>14.91877163</v>
      </c>
      <c r="D23" s="83">
        <f>'Página24'!G11</f>
        <v>19.41928616</v>
      </c>
      <c r="E23" s="78" t="str">
        <f t="shared" si="3"/>
        <v>Real (líquido)</v>
      </c>
    </row>
    <row r="24">
      <c r="A24" s="74">
        <f t="shared" si="2"/>
        <v>2026</v>
      </c>
      <c r="B24" s="83">
        <f>'Página24'!K12</f>
        <v>13.333</v>
      </c>
      <c r="C24" s="83">
        <f>'Página24'!I12</f>
        <v>15.22708897</v>
      </c>
      <c r="D24" s="83">
        <f>'Página24'!G12</f>
        <v>18.1228299</v>
      </c>
      <c r="E24" s="78" t="str">
        <f t="shared" si="3"/>
        <v>Real (líquido)</v>
      </c>
    </row>
    <row r="25">
      <c r="A25" s="74">
        <f t="shared" si="2"/>
        <v>2027</v>
      </c>
      <c r="B25" s="83">
        <f>'Página24'!K13</f>
        <v>13.333</v>
      </c>
      <c r="C25" s="83">
        <f>'Página24'!I13</f>
        <v>15.43782821</v>
      </c>
      <c r="D25" s="83">
        <f>'Página24'!G13</f>
        <v>17.72356271</v>
      </c>
      <c r="E25" s="78" t="str">
        <f t="shared" si="3"/>
        <v>Real (líquido)</v>
      </c>
    </row>
    <row r="26">
      <c r="A26" s="74">
        <f t="shared" si="2"/>
        <v>2016</v>
      </c>
      <c r="B26" s="75">
        <f>'Página24'!F2</f>
        <v>13.333</v>
      </c>
      <c r="C26" s="75">
        <f>'Página24'!E2</f>
        <v>14.03473684</v>
      </c>
      <c r="D26" s="75">
        <f>'Página24'!C2</f>
        <v>14.03473684</v>
      </c>
      <c r="E26" s="77" t="s">
        <v>118</v>
      </c>
    </row>
    <row r="27">
      <c r="A27" s="74">
        <f t="shared" si="2"/>
        <v>2017</v>
      </c>
      <c r="B27" s="75">
        <f>'Página24'!F3</f>
        <v>13.333</v>
      </c>
      <c r="C27" s="75">
        <f>'Página24'!E3</f>
        <v>14.03473684</v>
      </c>
      <c r="D27" s="75">
        <f>'Página24'!C3</f>
        <v>14.03473684</v>
      </c>
      <c r="E27" s="77" t="str">
        <f t="shared" ref="E27:E37" si="4">E26</f>
        <v>Ideal (bruto)</v>
      </c>
    </row>
    <row r="28">
      <c r="A28" s="74">
        <f t="shared" si="2"/>
        <v>2018</v>
      </c>
      <c r="B28" s="75">
        <f>'Página24'!F4</f>
        <v>13.333</v>
      </c>
      <c r="C28" s="75">
        <f>'Página24'!E4</f>
        <v>14.03473684</v>
      </c>
      <c r="D28" s="75">
        <f>'Página24'!C4</f>
        <v>14.03473684</v>
      </c>
      <c r="E28" s="77" t="str">
        <f t="shared" si="4"/>
        <v>Ideal (bruto)</v>
      </c>
    </row>
    <row r="29">
      <c r="A29" s="74">
        <f t="shared" si="2"/>
        <v>2019</v>
      </c>
      <c r="B29" s="75">
        <f>'Página24'!F5</f>
        <v>13.333</v>
      </c>
      <c r="C29" s="75">
        <f>'Página24'!E5</f>
        <v>14.03473684</v>
      </c>
      <c r="D29" s="75">
        <f>'Página24'!C5</f>
        <v>14.03473684</v>
      </c>
      <c r="E29" s="77" t="str">
        <f t="shared" si="4"/>
        <v>Ideal (bruto)</v>
      </c>
    </row>
    <row r="30">
      <c r="A30" s="74">
        <f t="shared" si="2"/>
        <v>2020</v>
      </c>
      <c r="B30" s="75">
        <f>'Página24'!F6</f>
        <v>13.333</v>
      </c>
      <c r="C30" s="75">
        <f>'Página24'!E6</f>
        <v>14.03473684</v>
      </c>
      <c r="D30" s="75">
        <f>'Página24'!C6</f>
        <v>14.03473684</v>
      </c>
      <c r="E30" s="77" t="str">
        <f t="shared" si="4"/>
        <v>Ideal (bruto)</v>
      </c>
    </row>
    <row r="31">
      <c r="A31" s="74">
        <f t="shared" si="2"/>
        <v>2021</v>
      </c>
      <c r="B31" s="75">
        <f>'Página24'!F7</f>
        <v>13.333</v>
      </c>
      <c r="C31" s="75">
        <f>'Página24'!E7</f>
        <v>14.03473684</v>
      </c>
      <c r="D31" s="75">
        <f>'Página24'!C7</f>
        <v>14.03473684</v>
      </c>
      <c r="E31" s="77" t="str">
        <f t="shared" si="4"/>
        <v>Ideal (bruto)</v>
      </c>
    </row>
    <row r="32">
      <c r="A32" s="74">
        <f t="shared" si="2"/>
        <v>2022</v>
      </c>
      <c r="B32" s="75">
        <f>'Página24'!F8</f>
        <v>13.333</v>
      </c>
      <c r="C32" s="75">
        <f>'Página24'!E8</f>
        <v>14.03473684</v>
      </c>
      <c r="D32" s="75">
        <f>'Página24'!C8</f>
        <v>14.03473684</v>
      </c>
      <c r="E32" s="77" t="str">
        <f t="shared" si="4"/>
        <v>Ideal (bruto)</v>
      </c>
    </row>
    <row r="33">
      <c r="A33" s="74">
        <f t="shared" si="2"/>
        <v>2023</v>
      </c>
      <c r="B33" s="75">
        <f>'Página24'!F9</f>
        <v>13.333</v>
      </c>
      <c r="C33" s="75">
        <f>'Página24'!E9</f>
        <v>14.03473684</v>
      </c>
      <c r="D33" s="75">
        <f>'Página24'!C9</f>
        <v>14.03473684</v>
      </c>
      <c r="E33" s="77" t="str">
        <f t="shared" si="4"/>
        <v>Ideal (bruto)</v>
      </c>
    </row>
    <row r="34">
      <c r="A34" s="74">
        <f t="shared" si="2"/>
        <v>2024</v>
      </c>
      <c r="B34" s="75">
        <f>'Página24'!F10</f>
        <v>13.333</v>
      </c>
      <c r="C34" s="75">
        <f>'Página24'!E10</f>
        <v>14.03473684</v>
      </c>
      <c r="D34" s="75">
        <f>'Página24'!C10</f>
        <v>14.03473684</v>
      </c>
      <c r="E34" s="77" t="str">
        <f t="shared" si="4"/>
        <v>Ideal (bruto)</v>
      </c>
    </row>
    <row r="35">
      <c r="A35" s="74">
        <f t="shared" si="2"/>
        <v>2025</v>
      </c>
      <c r="B35" s="75">
        <f>'Página24'!F11</f>
        <v>13.333</v>
      </c>
      <c r="C35" s="75">
        <f>'Página24'!E11</f>
        <v>14.03473684</v>
      </c>
      <c r="D35" s="75">
        <f>'Página24'!C11</f>
        <v>14.03473684</v>
      </c>
      <c r="E35" s="77" t="str">
        <f t="shared" si="4"/>
        <v>Ideal (bruto)</v>
      </c>
    </row>
    <row r="36">
      <c r="A36" s="74">
        <f t="shared" si="2"/>
        <v>2026</v>
      </c>
      <c r="B36" s="75">
        <f>'Página24'!F12</f>
        <v>13.333</v>
      </c>
      <c r="C36" s="75">
        <f>'Página24'!E12</f>
        <v>14.03473684</v>
      </c>
      <c r="D36" s="75">
        <f>'Página24'!C12</f>
        <v>14.03473684</v>
      </c>
      <c r="E36" s="77" t="str">
        <f t="shared" si="4"/>
        <v>Ideal (bruto)</v>
      </c>
    </row>
    <row r="37">
      <c r="A37" s="74">
        <f t="shared" si="2"/>
        <v>2027</v>
      </c>
      <c r="B37" s="75">
        <f>'Página24'!F13</f>
        <v>13.333</v>
      </c>
      <c r="C37" s="75">
        <f>'Página24'!E13</f>
        <v>14.03473684</v>
      </c>
      <c r="D37" s="75">
        <f>'Página24'!C13</f>
        <v>14.03473684</v>
      </c>
      <c r="E37" s="77" t="str">
        <f t="shared" si="4"/>
        <v>Ideal (bruto)</v>
      </c>
    </row>
    <row r="38">
      <c r="A38" s="74">
        <f t="shared" si="2"/>
        <v>2016</v>
      </c>
      <c r="B38" s="75">
        <f>'Página24'!K2</f>
        <v>13.333</v>
      </c>
      <c r="C38" s="75">
        <f>'Página24'!J2</f>
        <v>13.99413085</v>
      </c>
      <c r="D38" s="75">
        <f>'Página24'!H2</f>
        <v>13.99413085</v>
      </c>
      <c r="E38" s="78" t="s">
        <v>119</v>
      </c>
    </row>
    <row r="39">
      <c r="A39" s="74">
        <f t="shared" si="2"/>
        <v>2017</v>
      </c>
      <c r="B39" s="75">
        <f>'Página24'!K3</f>
        <v>13.333</v>
      </c>
      <c r="C39" s="75">
        <f>'Página24'!J3</f>
        <v>13.99764116</v>
      </c>
      <c r="D39" s="75">
        <f>'Página24'!H3</f>
        <v>13.99764116</v>
      </c>
      <c r="E39" s="78" t="str">
        <f t="shared" ref="E39:E49" si="5">E38</f>
        <v>Ideal (líquido)</v>
      </c>
    </row>
    <row r="40">
      <c r="A40" s="74">
        <f t="shared" si="2"/>
        <v>2018</v>
      </c>
      <c r="B40" s="75">
        <f>'Página24'!K4</f>
        <v>13.333</v>
      </c>
      <c r="C40" s="75">
        <f>'Página24'!J4</f>
        <v>13.99984173</v>
      </c>
      <c r="D40" s="75">
        <f>'Página24'!H4</f>
        <v>13.99984173</v>
      </c>
      <c r="E40" s="78" t="str">
        <f t="shared" si="5"/>
        <v>Ideal (líquido)</v>
      </c>
    </row>
    <row r="41">
      <c r="A41" s="74">
        <f t="shared" si="2"/>
        <v>2019</v>
      </c>
      <c r="B41" s="75">
        <f>'Página24'!K5</f>
        <v>13.333</v>
      </c>
      <c r="C41" s="75">
        <f>'Página24'!J5</f>
        <v>14.00181108</v>
      </c>
      <c r="D41" s="75">
        <f>'Página24'!H5</f>
        <v>14.00181108</v>
      </c>
      <c r="E41" s="78" t="str">
        <f t="shared" si="5"/>
        <v>Ideal (líquido)</v>
      </c>
    </row>
    <row r="42">
      <c r="A42" s="74">
        <f t="shared" si="2"/>
        <v>2020</v>
      </c>
      <c r="B42" s="75">
        <f>'Página24'!K6</f>
        <v>13.333</v>
      </c>
      <c r="C42" s="75">
        <f>'Página24'!J6</f>
        <v>13.97814283</v>
      </c>
      <c r="D42" s="75">
        <f>'Página24'!H6</f>
        <v>13.97814283</v>
      </c>
      <c r="E42" s="78" t="str">
        <f t="shared" si="5"/>
        <v>Ideal (líquido)</v>
      </c>
    </row>
    <row r="43">
      <c r="A43" s="74">
        <f t="shared" si="2"/>
        <v>2021</v>
      </c>
      <c r="B43" s="75">
        <f>'Página24'!K7</f>
        <v>13.333</v>
      </c>
      <c r="C43" s="75">
        <f>'Página24'!J7</f>
        <v>13.97266487</v>
      </c>
      <c r="D43" s="75">
        <f>'Página24'!H7</f>
        <v>13.97266487</v>
      </c>
      <c r="E43" s="78" t="str">
        <f t="shared" si="5"/>
        <v>Ideal (líquido)</v>
      </c>
    </row>
    <row r="44">
      <c r="A44" s="74">
        <f t="shared" si="2"/>
        <v>2022</v>
      </c>
      <c r="B44" s="75">
        <f>'Página24'!K8</f>
        <v>13.333</v>
      </c>
      <c r="C44" s="75">
        <f>'Página24'!J8</f>
        <v>13.97013082</v>
      </c>
      <c r="D44" s="75">
        <f>'Página24'!H8</f>
        <v>13.97013082</v>
      </c>
      <c r="E44" s="78" t="str">
        <f t="shared" si="5"/>
        <v>Ideal (líquido)</v>
      </c>
    </row>
    <row r="45">
      <c r="A45" s="74">
        <f t="shared" si="2"/>
        <v>2023</v>
      </c>
      <c r="B45" s="75">
        <f>'Página24'!K9</f>
        <v>13.333</v>
      </c>
      <c r="C45" s="75">
        <f>'Página24'!J9</f>
        <v>13.97163143</v>
      </c>
      <c r="D45" s="75">
        <f>'Página24'!H9</f>
        <v>13.97163143</v>
      </c>
      <c r="E45" s="78" t="str">
        <f t="shared" si="5"/>
        <v>Ideal (líquido)</v>
      </c>
    </row>
    <row r="46">
      <c r="A46" s="74">
        <f t="shared" si="2"/>
        <v>2024</v>
      </c>
      <c r="B46" s="75">
        <f>'Página24'!K10</f>
        <v>13.333</v>
      </c>
      <c r="C46" s="75">
        <f>'Página24'!J10</f>
        <v>13.97162148</v>
      </c>
      <c r="D46" s="75">
        <f>'Página24'!H10</f>
        <v>13.97162148</v>
      </c>
      <c r="E46" s="78" t="str">
        <f t="shared" si="5"/>
        <v>Ideal (líquido)</v>
      </c>
    </row>
    <row r="47">
      <c r="A47" s="74">
        <f t="shared" si="2"/>
        <v>2025</v>
      </c>
      <c r="B47" s="75">
        <f>'Página24'!K11</f>
        <v>13.333</v>
      </c>
      <c r="C47" s="75">
        <f>'Página24'!J11</f>
        <v>13.97729498</v>
      </c>
      <c r="D47" s="75">
        <f>'Página24'!H11</f>
        <v>13.97729498</v>
      </c>
      <c r="E47" s="78" t="str">
        <f t="shared" si="5"/>
        <v>Ideal (líquido)</v>
      </c>
    </row>
    <row r="48">
      <c r="A48" s="74">
        <f t="shared" si="2"/>
        <v>2026</v>
      </c>
      <c r="B48" s="75">
        <f>'Página24'!K12</f>
        <v>13.333</v>
      </c>
      <c r="C48" s="75">
        <f>'Página24'!J12</f>
        <v>13.98134605</v>
      </c>
      <c r="D48" s="75">
        <f>'Página24'!H12</f>
        <v>13.98134605</v>
      </c>
      <c r="E48" s="78" t="str">
        <f t="shared" si="5"/>
        <v>Ideal (líquido)</v>
      </c>
    </row>
    <row r="49">
      <c r="A49" s="74">
        <f t="shared" si="2"/>
        <v>2027</v>
      </c>
      <c r="B49" s="75">
        <f>'Página24'!K13</f>
        <v>13.333</v>
      </c>
      <c r="C49" s="75">
        <f>'Página24'!J13</f>
        <v>13.98252221</v>
      </c>
      <c r="D49" s="75">
        <f>'Página24'!H13</f>
        <v>13.98252221</v>
      </c>
      <c r="E49" s="78" t="str">
        <f t="shared" si="5"/>
        <v>Ideal (líquido)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.0"/>
    <col customWidth="1" min="3" max="3" width="4.63"/>
    <col customWidth="1" min="4" max="4" width="5.88"/>
    <col customWidth="1" min="5" max="5" width="10.63"/>
    <col customWidth="1" min="6" max="6" width="15.0"/>
    <col customWidth="1" min="7" max="7" width="22.13"/>
    <col customWidth="1" min="8" max="19" width="6.13"/>
    <col customWidth="1" min="20" max="23" width="9.38"/>
  </cols>
  <sheetData>
    <row r="1">
      <c r="A1" s="79"/>
      <c r="B1" s="79"/>
      <c r="C1" s="79"/>
      <c r="D1" s="79"/>
      <c r="E1" s="79"/>
      <c r="F1" s="79" t="s">
        <v>107</v>
      </c>
      <c r="G1" s="79" t="s">
        <v>101</v>
      </c>
      <c r="H1" s="80">
        <v>2016.0</v>
      </c>
      <c r="I1" s="79">
        <f t="shared" ref="I1:S1" si="1">H1+1</f>
        <v>2017</v>
      </c>
      <c r="J1" s="79">
        <f t="shared" si="1"/>
        <v>2018</v>
      </c>
      <c r="K1" s="79">
        <f t="shared" si="1"/>
        <v>2019</v>
      </c>
      <c r="L1" s="79">
        <f t="shared" si="1"/>
        <v>2020</v>
      </c>
      <c r="M1" s="79">
        <f t="shared" si="1"/>
        <v>2021</v>
      </c>
      <c r="N1" s="79">
        <f t="shared" si="1"/>
        <v>2022</v>
      </c>
      <c r="O1" s="79">
        <f t="shared" si="1"/>
        <v>2023</v>
      </c>
      <c r="P1" s="79">
        <f t="shared" si="1"/>
        <v>2024</v>
      </c>
      <c r="Q1" s="79">
        <f t="shared" si="1"/>
        <v>2025</v>
      </c>
      <c r="R1" s="79">
        <f t="shared" si="1"/>
        <v>2026</v>
      </c>
      <c r="S1" s="79">
        <f t="shared" si="1"/>
        <v>2027</v>
      </c>
      <c r="T1" s="80" t="s">
        <v>108</v>
      </c>
      <c r="U1" s="80" t="s">
        <v>109</v>
      </c>
      <c r="V1" s="81" t="s">
        <v>110</v>
      </c>
      <c r="W1" s="81" t="s">
        <v>111</v>
      </c>
    </row>
    <row r="2">
      <c r="A2" s="80" t="s">
        <v>104</v>
      </c>
      <c r="B2" s="80"/>
      <c r="C2" s="80" t="s">
        <v>120</v>
      </c>
      <c r="D2" s="80" t="s">
        <v>102</v>
      </c>
      <c r="E2" s="80" t="s">
        <v>121</v>
      </c>
      <c r="F2" s="80" t="str">
        <f t="shared" ref="F2:F25" si="3">IF(B2="",A2,CONCATENATE(A2," (",B2,")"))</f>
        <v>AFFC</v>
      </c>
      <c r="G2" s="80" t="str">
        <f t="shared" ref="G2:G25" si="4">CONCATENATE(C2," (",D2,")"," | ",E2)</f>
        <v>Real (bruto) | MONTANTE</v>
      </c>
      <c r="H2" s="82">
        <f>HLOOKUP($A2,'Página25'!$A:$E,H$1-2016+2,FALSE)</f>
        <v>13.333</v>
      </c>
      <c r="I2" s="82">
        <f>HLOOKUP($A2,'Página25'!$A:$E,I$1-2016+2,FALSE)</f>
        <v>13.333</v>
      </c>
      <c r="J2" s="82">
        <f>HLOOKUP($A2,'Página25'!$A:$E,J$1-2016+2,FALSE)</f>
        <v>13.333</v>
      </c>
      <c r="K2" s="82">
        <f>HLOOKUP($A2,'Página25'!$A:$E,K$1-2016+2,FALSE)</f>
        <v>13.333</v>
      </c>
      <c r="L2" s="82">
        <f>HLOOKUP($A2,'Página25'!$A:$E,L$1-2016+2,FALSE)</f>
        <v>13.333</v>
      </c>
      <c r="M2" s="82">
        <f>HLOOKUP($A2,'Página25'!$A:$E,M$1-2016+2,FALSE)</f>
        <v>13.333</v>
      </c>
      <c r="N2" s="82">
        <f>HLOOKUP($A2,'Página25'!$A:$E,N$1-2016+2,FALSE)</f>
        <v>13.333</v>
      </c>
      <c r="O2" s="82">
        <f>HLOOKUP($A2,'Página25'!$A:$E,O$1-2016+2,FALSE)</f>
        <v>13.333</v>
      </c>
      <c r="P2" s="82">
        <f>HLOOKUP($A2,'Página25'!$A:$E,P$1-2016+2,FALSE)</f>
        <v>13.333</v>
      </c>
      <c r="Q2" s="82">
        <f>HLOOKUP($A2,'Página25'!$A:$E,Q$1-2016+2,FALSE)</f>
        <v>13.333</v>
      </c>
      <c r="R2" s="82">
        <f>HLOOKUP($A2,'Página25'!$A:$E,R$1-2016+2,FALSE)</f>
        <v>13.333</v>
      </c>
      <c r="S2" s="82">
        <f>HLOOKUP($A2,'Página25'!$A:$E,S$1-2016+2,FALSE)</f>
        <v>13.333</v>
      </c>
      <c r="T2" s="82">
        <f t="shared" ref="T2:T25" si="5">SUM(H2:K2)</f>
        <v>53.332</v>
      </c>
      <c r="U2" s="82">
        <f t="shared" ref="U2:U25" si="6">SUM(L2:O2)</f>
        <v>53.332</v>
      </c>
      <c r="V2" s="82">
        <f t="shared" ref="V2:V25" si="7">SUM(P2:S2)</f>
        <v>53.332</v>
      </c>
      <c r="W2" s="82">
        <f t="shared" ref="W2:W25" si="8">SUM(T2:V2)</f>
        <v>159.996</v>
      </c>
    </row>
    <row r="3">
      <c r="A3" s="80" t="s">
        <v>105</v>
      </c>
      <c r="B3" s="80" t="s">
        <v>122</v>
      </c>
      <c r="C3" s="79" t="str">
        <f t="shared" ref="C3:E3" si="2">C2</f>
        <v>Real</v>
      </c>
      <c r="D3" s="79" t="str">
        <f t="shared" si="2"/>
        <v>bruto</v>
      </c>
      <c r="E3" s="79" t="str">
        <f t="shared" si="2"/>
        <v>MONTANTE</v>
      </c>
      <c r="F3" s="80" t="str">
        <f t="shared" si="3"/>
        <v>AFRFB (com BEP)</v>
      </c>
      <c r="G3" s="80" t="str">
        <f t="shared" si="4"/>
        <v>Real (bruto) | MONTANTE</v>
      </c>
      <c r="H3" s="82">
        <f>HLOOKUP($A3,'Página25'!$A:$E,H$1-2016+2,FALSE)</f>
        <v>14.32520589</v>
      </c>
      <c r="I3" s="82">
        <f>HLOOKUP($A3,'Página25'!$A:$E,I$1-2016+2,FALSE)</f>
        <v>15.26613311</v>
      </c>
      <c r="J3" s="82">
        <f>HLOOKUP($A3,'Página25'!$A:$E,J$1-2016+2,FALSE)</f>
        <v>14.92922482</v>
      </c>
      <c r="K3" s="82">
        <f>HLOOKUP($A3,'Página25'!$A:$E,K$1-2016+2,FALSE)</f>
        <v>14.6161161</v>
      </c>
      <c r="L3" s="82">
        <f>HLOOKUP($A3,'Página25'!$A:$E,L$1-2016+2,FALSE)</f>
        <v>14.6161161</v>
      </c>
      <c r="M3" s="82">
        <f>HLOOKUP($A3,'Página25'!$A:$E,M$1-2016+2,FALSE)</f>
        <v>14.6161161</v>
      </c>
      <c r="N3" s="82">
        <f>HLOOKUP($A3,'Página25'!$A:$E,N$1-2016+2,FALSE)</f>
        <v>14.6161161</v>
      </c>
      <c r="O3" s="82">
        <f>HLOOKUP($A3,'Página25'!$A:$E,O$1-2016+2,FALSE)</f>
        <v>14.54009687</v>
      </c>
      <c r="P3" s="82">
        <f>HLOOKUP($A3,'Página25'!$A:$E,P$1-2016+2,FALSE)</f>
        <v>15.16113599</v>
      </c>
      <c r="Q3" s="82">
        <f>HLOOKUP($A3,'Página25'!$A:$E,Q$1-2016+2,FALSE)</f>
        <v>14.47739887</v>
      </c>
      <c r="R3" s="82">
        <f>HLOOKUP($A3,'Página25'!$A:$E,R$1-2016+2,FALSE)</f>
        <v>14.5649483</v>
      </c>
      <c r="S3" s="82">
        <f>HLOOKUP($A3,'Página25'!$A:$E,S$1-2016+2,FALSE)</f>
        <v>14.69632532</v>
      </c>
      <c r="T3" s="82">
        <f t="shared" si="5"/>
        <v>59.13667993</v>
      </c>
      <c r="U3" s="82">
        <f t="shared" si="6"/>
        <v>58.38844518</v>
      </c>
      <c r="V3" s="58">
        <f t="shared" si="7"/>
        <v>58.89980848</v>
      </c>
      <c r="W3" s="58">
        <f t="shared" si="8"/>
        <v>176.4249336</v>
      </c>
    </row>
    <row r="4">
      <c r="A4" s="80" t="s">
        <v>106</v>
      </c>
      <c r="B4" s="80" t="s">
        <v>123</v>
      </c>
      <c r="C4" s="79" t="str">
        <f t="shared" ref="C4:E4" si="9">C3</f>
        <v>Real</v>
      </c>
      <c r="D4" s="79" t="str">
        <f t="shared" si="9"/>
        <v>bruto</v>
      </c>
      <c r="E4" s="79" t="str">
        <f t="shared" si="9"/>
        <v>MONTANTE</v>
      </c>
      <c r="F4" s="80" t="str">
        <f t="shared" si="3"/>
        <v>PFN (com HAS)</v>
      </c>
      <c r="G4" s="80" t="str">
        <f t="shared" si="4"/>
        <v>Real (bruto) | MONTANTE</v>
      </c>
      <c r="H4" s="82">
        <f>HLOOKUP($A4,'Página25'!$A:$E,H$1-2016+2,FALSE)</f>
        <v>14.79241536</v>
      </c>
      <c r="I4" s="82">
        <f>HLOOKUP($A4,'Página25'!$A:$E,I$1-2016+2,FALSE)</f>
        <v>15.59545625</v>
      </c>
      <c r="J4" s="82">
        <f>HLOOKUP($A4,'Página25'!$A:$E,J$1-2016+2,FALSE)</f>
        <v>16.58559823</v>
      </c>
      <c r="K4" s="82">
        <f>HLOOKUP($A4,'Página25'!$A:$E,K$1-2016+2,FALSE)</f>
        <v>16.46473227</v>
      </c>
      <c r="L4" s="82">
        <f>HLOOKUP($A4,'Página25'!$A:$E,L$1-2016+2,FALSE)</f>
        <v>16.85087742</v>
      </c>
      <c r="M4" s="82">
        <f>HLOOKUP($A4,'Página25'!$A:$E,M$1-2016+2,FALSE)</f>
        <v>17.50725466</v>
      </c>
      <c r="N4" s="82">
        <f>HLOOKUP($A4,'Página25'!$A:$E,N$1-2016+2,FALSE)</f>
        <v>18.91810741</v>
      </c>
      <c r="O4" s="82">
        <f>HLOOKUP($A4,'Página25'!$A:$E,O$1-2016+2,FALSE)</f>
        <v>18.71102604</v>
      </c>
      <c r="P4" s="82">
        <f>HLOOKUP($A4,'Página25'!$A:$E,P$1-2016+2,FALSE)</f>
        <v>19.4321424</v>
      </c>
      <c r="Q4" s="82">
        <f>HLOOKUP($A4,'Página25'!$A:$E,Q$1-2016+2,FALSE)</f>
        <v>18.44783222</v>
      </c>
      <c r="R4" s="82">
        <f>HLOOKUP($A4,'Página25'!$A:$E,R$1-2016+2,FALSE)</f>
        <v>17.10628062</v>
      </c>
      <c r="S4" s="82">
        <f>HLOOKUP($A4,'Página25'!$A:$E,S$1-2016+2,FALSE)</f>
        <v>16.6966139</v>
      </c>
      <c r="T4" s="82">
        <f t="shared" si="5"/>
        <v>63.43820211</v>
      </c>
      <c r="U4" s="82">
        <f t="shared" si="6"/>
        <v>71.98726553</v>
      </c>
      <c r="V4" s="58">
        <f t="shared" si="7"/>
        <v>71.68286913</v>
      </c>
      <c r="W4" s="58">
        <f t="shared" si="8"/>
        <v>207.1083368</v>
      </c>
    </row>
    <row r="5">
      <c r="A5" s="79" t="str">
        <f t="shared" ref="A5:B5" si="10">A2</f>
        <v>AFFC</v>
      </c>
      <c r="B5" s="80" t="str">
        <f t="shared" si="10"/>
        <v/>
      </c>
      <c r="C5" s="79" t="str">
        <f t="shared" ref="C5:D5" si="11">C4</f>
        <v>Real</v>
      </c>
      <c r="D5" s="79" t="str">
        <f t="shared" si="11"/>
        <v>bruto</v>
      </c>
      <c r="E5" s="80" t="s">
        <v>124</v>
      </c>
      <c r="F5" s="80" t="str">
        <f t="shared" si="3"/>
        <v>AFFC</v>
      </c>
      <c r="G5" s="80" t="str">
        <f t="shared" si="4"/>
        <v>Real (bruto) | DIFERENÇA</v>
      </c>
      <c r="H5" s="82">
        <f t="shared" ref="H5:S5" si="12">H2-H$2</f>
        <v>0</v>
      </c>
      <c r="I5" s="82">
        <f t="shared" si="12"/>
        <v>0</v>
      </c>
      <c r="J5" s="82">
        <f t="shared" si="12"/>
        <v>0</v>
      </c>
      <c r="K5" s="82">
        <f t="shared" si="12"/>
        <v>0</v>
      </c>
      <c r="L5" s="82">
        <f t="shared" si="12"/>
        <v>0</v>
      </c>
      <c r="M5" s="82">
        <f t="shared" si="12"/>
        <v>0</v>
      </c>
      <c r="N5" s="82">
        <f t="shared" si="12"/>
        <v>0</v>
      </c>
      <c r="O5" s="82">
        <f t="shared" si="12"/>
        <v>0</v>
      </c>
      <c r="P5" s="82">
        <f t="shared" si="12"/>
        <v>0</v>
      </c>
      <c r="Q5" s="82">
        <f t="shared" si="12"/>
        <v>0</v>
      </c>
      <c r="R5" s="82">
        <f t="shared" si="12"/>
        <v>0</v>
      </c>
      <c r="S5" s="82">
        <f t="shared" si="12"/>
        <v>0</v>
      </c>
      <c r="T5" s="82">
        <f t="shared" si="5"/>
        <v>0</v>
      </c>
      <c r="U5" s="82">
        <f t="shared" si="6"/>
        <v>0</v>
      </c>
      <c r="V5" s="58">
        <f t="shared" si="7"/>
        <v>0</v>
      </c>
      <c r="W5" s="58">
        <f t="shared" si="8"/>
        <v>0</v>
      </c>
    </row>
    <row r="6">
      <c r="A6" s="79" t="str">
        <f t="shared" ref="A6:B6" si="13">A3</f>
        <v>AFRFB</v>
      </c>
      <c r="B6" s="80" t="str">
        <f t="shared" si="13"/>
        <v>com BEP</v>
      </c>
      <c r="C6" s="79" t="str">
        <f t="shared" ref="C6:E6" si="14">C5</f>
        <v>Real</v>
      </c>
      <c r="D6" s="79" t="str">
        <f t="shared" si="14"/>
        <v>bruto</v>
      </c>
      <c r="E6" s="79" t="str">
        <f t="shared" si="14"/>
        <v>DIFERENÇA</v>
      </c>
      <c r="F6" s="80" t="str">
        <f t="shared" si="3"/>
        <v>AFRFB (com BEP)</v>
      </c>
      <c r="G6" s="80" t="str">
        <f t="shared" si="4"/>
        <v>Real (bruto) | DIFERENÇA</v>
      </c>
      <c r="H6" s="82">
        <f t="shared" ref="H6:S6" si="15">H3-H$2</f>
        <v>0.9922058927</v>
      </c>
      <c r="I6" s="82">
        <f t="shared" si="15"/>
        <v>1.933133115</v>
      </c>
      <c r="J6" s="82">
        <f t="shared" si="15"/>
        <v>1.596224816</v>
      </c>
      <c r="K6" s="82">
        <f t="shared" si="15"/>
        <v>1.283116104</v>
      </c>
      <c r="L6" s="82">
        <f t="shared" si="15"/>
        <v>1.283116104</v>
      </c>
      <c r="M6" s="82">
        <f t="shared" si="15"/>
        <v>1.283116104</v>
      </c>
      <c r="N6" s="82">
        <f t="shared" si="15"/>
        <v>1.283116104</v>
      </c>
      <c r="O6" s="82">
        <f t="shared" si="15"/>
        <v>1.207096869</v>
      </c>
      <c r="P6" s="82">
        <f t="shared" si="15"/>
        <v>1.828135987</v>
      </c>
      <c r="Q6" s="82">
        <f t="shared" si="15"/>
        <v>1.144398874</v>
      </c>
      <c r="R6" s="82">
        <f t="shared" si="15"/>
        <v>1.231948301</v>
      </c>
      <c r="S6" s="82">
        <f t="shared" si="15"/>
        <v>1.363325318</v>
      </c>
      <c r="T6" s="82">
        <f t="shared" si="5"/>
        <v>5.804679928</v>
      </c>
      <c r="U6" s="82">
        <f t="shared" si="6"/>
        <v>5.056445182</v>
      </c>
      <c r="V6" s="58">
        <f t="shared" si="7"/>
        <v>5.56780848</v>
      </c>
      <c r="W6" s="58">
        <f t="shared" si="8"/>
        <v>16.42893359</v>
      </c>
    </row>
    <row r="7">
      <c r="A7" s="79" t="str">
        <f t="shared" ref="A7:B7" si="16">A4</f>
        <v>PFN</v>
      </c>
      <c r="B7" s="80" t="str">
        <f t="shared" si="16"/>
        <v>com HAS</v>
      </c>
      <c r="C7" s="79" t="str">
        <f t="shared" ref="C7:E7" si="17">C6</f>
        <v>Real</v>
      </c>
      <c r="D7" s="79" t="str">
        <f t="shared" si="17"/>
        <v>bruto</v>
      </c>
      <c r="E7" s="79" t="str">
        <f t="shared" si="17"/>
        <v>DIFERENÇA</v>
      </c>
      <c r="F7" s="80" t="str">
        <f t="shared" si="3"/>
        <v>PFN (com HAS)</v>
      </c>
      <c r="G7" s="80" t="str">
        <f t="shared" si="4"/>
        <v>Real (bruto) | DIFERENÇA</v>
      </c>
      <c r="H7" s="82">
        <f t="shared" ref="H7:S7" si="18">H4-H$2</f>
        <v>1.459415355</v>
      </c>
      <c r="I7" s="82">
        <f t="shared" si="18"/>
        <v>2.262456253</v>
      </c>
      <c r="J7" s="82">
        <f t="shared" si="18"/>
        <v>3.252598232</v>
      </c>
      <c r="K7" s="82">
        <f t="shared" si="18"/>
        <v>3.131732269</v>
      </c>
      <c r="L7" s="82">
        <f t="shared" si="18"/>
        <v>3.517877419</v>
      </c>
      <c r="M7" s="82">
        <f t="shared" si="18"/>
        <v>4.174254659</v>
      </c>
      <c r="N7" s="82">
        <f t="shared" si="18"/>
        <v>5.585107412</v>
      </c>
      <c r="O7" s="82">
        <f t="shared" si="18"/>
        <v>5.378026041</v>
      </c>
      <c r="P7" s="82">
        <f t="shared" si="18"/>
        <v>6.0991424</v>
      </c>
      <c r="Q7" s="82">
        <f t="shared" si="18"/>
        <v>5.114832215</v>
      </c>
      <c r="R7" s="82">
        <f t="shared" si="18"/>
        <v>3.773280624</v>
      </c>
      <c r="S7" s="82">
        <f t="shared" si="18"/>
        <v>3.363613895</v>
      </c>
      <c r="T7" s="82">
        <f t="shared" si="5"/>
        <v>10.10620211</v>
      </c>
      <c r="U7" s="82">
        <f t="shared" si="6"/>
        <v>18.65526553</v>
      </c>
      <c r="V7" s="58">
        <f t="shared" si="7"/>
        <v>18.35086913</v>
      </c>
      <c r="W7" s="58">
        <f t="shared" si="8"/>
        <v>47.11233677</v>
      </c>
    </row>
    <row r="8">
      <c r="A8" s="79" t="str">
        <f t="shared" ref="A8:B8" si="19">A5</f>
        <v>AFFC</v>
      </c>
      <c r="B8" s="80" t="str">
        <f t="shared" si="19"/>
        <v/>
      </c>
      <c r="C8" s="79" t="str">
        <f t="shared" ref="C8:C13" si="21">C7</f>
        <v>Real</v>
      </c>
      <c r="D8" s="80" t="s">
        <v>103</v>
      </c>
      <c r="E8" s="80" t="str">
        <f t="shared" ref="E8:E25" si="22">E2</f>
        <v>MONTANTE</v>
      </c>
      <c r="F8" s="80" t="str">
        <f t="shared" si="3"/>
        <v>AFFC</v>
      </c>
      <c r="G8" s="80" t="str">
        <f t="shared" si="4"/>
        <v>Real (líquido) | MONTANTE</v>
      </c>
      <c r="H8" s="82">
        <f>HLOOKUP($A8,'Página25'!$A:$E,H$1-2016+2+12,FALSE)</f>
        <v>13.333</v>
      </c>
      <c r="I8" s="82">
        <f>HLOOKUP($A8,'Página25'!$A:$E,I$1-2016+2+12,FALSE)</f>
        <v>13.333</v>
      </c>
      <c r="J8" s="82">
        <f>HLOOKUP($A8,'Página25'!$A:$E,J$1-2016+2+12,FALSE)</f>
        <v>13.333</v>
      </c>
      <c r="K8" s="82">
        <f>HLOOKUP($A8,'Página25'!$A:$E,K$1-2016+2+12,FALSE)</f>
        <v>13.333</v>
      </c>
      <c r="L8" s="82">
        <f>HLOOKUP($A8,'Página25'!$A:$E,L$1-2016+2+12,FALSE)</f>
        <v>13.333</v>
      </c>
      <c r="M8" s="82">
        <f>HLOOKUP($A8,'Página25'!$A:$E,M$1-2016+2+12,FALSE)</f>
        <v>13.333</v>
      </c>
      <c r="N8" s="82">
        <f>HLOOKUP($A8,'Página25'!$A:$E,N$1-2016+2+12,FALSE)</f>
        <v>13.333</v>
      </c>
      <c r="O8" s="82">
        <f>HLOOKUP($A8,'Página25'!$A:$E,O$1-2016+2+12,FALSE)</f>
        <v>13.333</v>
      </c>
      <c r="P8" s="82">
        <f>HLOOKUP($A8,'Página25'!$A:$E,P$1-2016+2+12,FALSE)</f>
        <v>13.333</v>
      </c>
      <c r="Q8" s="82">
        <f>HLOOKUP($A8,'Página25'!$A:$E,Q$1-2016+2+12,FALSE)</f>
        <v>13.333</v>
      </c>
      <c r="R8" s="82">
        <f>HLOOKUP($A8,'Página25'!$A:$E,R$1-2016+2+12,FALSE)</f>
        <v>13.333</v>
      </c>
      <c r="S8" s="82">
        <f>HLOOKUP($A8,'Página25'!$A:$E,S$1-2016+2+12,FALSE)</f>
        <v>13.333</v>
      </c>
      <c r="T8" s="82">
        <f t="shared" si="5"/>
        <v>53.332</v>
      </c>
      <c r="U8" s="82">
        <f t="shared" si="6"/>
        <v>53.332</v>
      </c>
      <c r="V8" s="58">
        <f t="shared" si="7"/>
        <v>53.332</v>
      </c>
      <c r="W8" s="58">
        <f t="shared" si="8"/>
        <v>159.996</v>
      </c>
    </row>
    <row r="9">
      <c r="A9" s="79" t="str">
        <f t="shared" ref="A9:B9" si="20">A6</f>
        <v>AFRFB</v>
      </c>
      <c r="B9" s="80" t="str">
        <f t="shared" si="20"/>
        <v>com BEP</v>
      </c>
      <c r="C9" s="79" t="str">
        <f t="shared" si="21"/>
        <v>Real</v>
      </c>
      <c r="D9" s="79" t="str">
        <f t="shared" ref="D9:D13" si="24">D8</f>
        <v>líquido</v>
      </c>
      <c r="E9" s="80" t="str">
        <f t="shared" si="22"/>
        <v>MONTANTE</v>
      </c>
      <c r="F9" s="80" t="str">
        <f t="shared" si="3"/>
        <v>AFRFB (com BEP)</v>
      </c>
      <c r="G9" s="80" t="str">
        <f t="shared" si="4"/>
        <v>Real (líquido) | MONTANTE</v>
      </c>
      <c r="H9" s="82">
        <f>HLOOKUP($A9,'Página25'!$A:$E,H$1-2016+2+12,FALSE)</f>
        <v>14.34264797</v>
      </c>
      <c r="I9" s="82">
        <f>HLOOKUP($A9,'Página25'!$A:$E,I$1-2016+2+12,FALSE)</f>
        <v>15.33850251</v>
      </c>
      <c r="J9" s="82">
        <f>HLOOKUP($A9,'Página25'!$A:$E,J$1-2016+2+12,FALSE)</f>
        <v>15.01406918</v>
      </c>
      <c r="K9" s="82">
        <f>HLOOKUP($A9,'Página25'!$A:$E,K$1-2016+2+12,FALSE)</f>
        <v>14.71084986</v>
      </c>
      <c r="L9" s="82">
        <f>HLOOKUP($A9,'Página25'!$A:$E,L$1-2016+2+12,FALSE)</f>
        <v>14.77540388</v>
      </c>
      <c r="M9" s="82">
        <f>HLOOKUP($A9,'Página25'!$A:$E,M$1-2016+2+12,FALSE)</f>
        <v>14.7838575</v>
      </c>
      <c r="N9" s="82">
        <f>HLOOKUP($A9,'Página25'!$A:$E,N$1-2016+2+12,FALSE)</f>
        <v>14.7781099</v>
      </c>
      <c r="O9" s="82">
        <f>HLOOKUP($A9,'Página25'!$A:$E,O$1-2016+2+12,FALSE)</f>
        <v>14.69592092</v>
      </c>
      <c r="P9" s="82">
        <f>HLOOKUP($A9,'Página25'!$A:$E,P$1-2016+2+12,FALSE)</f>
        <v>15.39380202</v>
      </c>
      <c r="Q9" s="82">
        <f>HLOOKUP($A9,'Página25'!$A:$E,Q$1-2016+2+12,FALSE)</f>
        <v>14.91877163</v>
      </c>
      <c r="R9" s="82">
        <f>HLOOKUP($A9,'Página25'!$A:$E,R$1-2016+2+12,FALSE)</f>
        <v>15.22708897</v>
      </c>
      <c r="S9" s="82">
        <f>HLOOKUP($A9,'Página25'!$A:$E,S$1-2016+2+12,FALSE)</f>
        <v>15.43782821</v>
      </c>
      <c r="T9" s="82">
        <f t="shared" si="5"/>
        <v>59.40606951</v>
      </c>
      <c r="U9" s="82">
        <f t="shared" si="6"/>
        <v>59.0332922</v>
      </c>
      <c r="V9" s="58">
        <f t="shared" si="7"/>
        <v>60.97749084</v>
      </c>
      <c r="W9" s="58">
        <f t="shared" si="8"/>
        <v>179.4168525</v>
      </c>
    </row>
    <row r="10">
      <c r="A10" s="79" t="str">
        <f t="shared" ref="A10:B10" si="23">A7</f>
        <v>PFN</v>
      </c>
      <c r="B10" s="80" t="str">
        <f t="shared" si="23"/>
        <v>com HAS</v>
      </c>
      <c r="C10" s="79" t="str">
        <f t="shared" si="21"/>
        <v>Real</v>
      </c>
      <c r="D10" s="79" t="str">
        <f t="shared" si="24"/>
        <v>líquido</v>
      </c>
      <c r="E10" s="80" t="str">
        <f t="shared" si="22"/>
        <v>MONTANTE</v>
      </c>
      <c r="F10" s="80" t="str">
        <f t="shared" si="3"/>
        <v>PFN (com HAS)</v>
      </c>
      <c r="G10" s="80" t="str">
        <f t="shared" si="4"/>
        <v>Real (líquido) | MONTANTE</v>
      </c>
      <c r="H10" s="82">
        <f>HLOOKUP($A10,'Página25'!$A:$E,H$1-2016+2+12,FALSE)</f>
        <v>14.79749312</v>
      </c>
      <c r="I10" s="82">
        <f>HLOOKUP($A10,'Página25'!$A:$E,I$1-2016+2+12,FALSE)</f>
        <v>15.68896414</v>
      </c>
      <c r="J10" s="82">
        <f>HLOOKUP($A10,'Página25'!$A:$E,J$1-2016+2+12,FALSE)</f>
        <v>16.78261153</v>
      </c>
      <c r="K10" s="82">
        <f>HLOOKUP($A10,'Página25'!$A:$E,K$1-2016+2+12,FALSE)</f>
        <v>16.69048947</v>
      </c>
      <c r="L10" s="82">
        <f>HLOOKUP($A10,'Página25'!$A:$E,L$1-2016+2+12,FALSE)</f>
        <v>17.27731303</v>
      </c>
      <c r="M10" s="82">
        <f>HLOOKUP($A10,'Página25'!$A:$E,M$1-2016+2+12,FALSE)</f>
        <v>18.03744038</v>
      </c>
      <c r="N10" s="82">
        <f>HLOOKUP($A10,'Página25'!$A:$E,N$1-2016+2+12,FALSE)</f>
        <v>19.60024734</v>
      </c>
      <c r="O10" s="82">
        <f>HLOOKUP($A10,'Página25'!$A:$E,O$1-2016+2+12,FALSE)</f>
        <v>19.38106922</v>
      </c>
      <c r="P10" s="82">
        <f>HLOOKUP($A10,'Página25'!$A:$E,P$1-2016+2+12,FALSE)</f>
        <v>20.19237881</v>
      </c>
      <c r="Q10" s="82">
        <f>HLOOKUP($A10,'Página25'!$A:$E,Q$1-2016+2+12,FALSE)</f>
        <v>19.41928616</v>
      </c>
      <c r="R10" s="82">
        <f>HLOOKUP($A10,'Página25'!$A:$E,R$1-2016+2+12,FALSE)</f>
        <v>18.1228299</v>
      </c>
      <c r="S10" s="82">
        <f>HLOOKUP($A10,'Página25'!$A:$E,S$1-2016+2+12,FALSE)</f>
        <v>17.72356271</v>
      </c>
      <c r="T10" s="82">
        <f t="shared" si="5"/>
        <v>63.95955826</v>
      </c>
      <c r="U10" s="82">
        <f t="shared" si="6"/>
        <v>74.29606997</v>
      </c>
      <c r="V10" s="58">
        <f t="shared" si="7"/>
        <v>75.45805759</v>
      </c>
      <c r="W10" s="58">
        <f t="shared" si="8"/>
        <v>213.7136858</v>
      </c>
    </row>
    <row r="11">
      <c r="A11" s="79" t="str">
        <f t="shared" ref="A11:B11" si="25">A8</f>
        <v>AFFC</v>
      </c>
      <c r="B11" s="80" t="str">
        <f t="shared" si="25"/>
        <v/>
      </c>
      <c r="C11" s="79" t="str">
        <f t="shared" si="21"/>
        <v>Real</v>
      </c>
      <c r="D11" s="79" t="str">
        <f t="shared" si="24"/>
        <v>líquido</v>
      </c>
      <c r="E11" s="80" t="str">
        <f t="shared" si="22"/>
        <v>DIFERENÇA</v>
      </c>
      <c r="F11" s="80" t="str">
        <f t="shared" si="3"/>
        <v>AFFC</v>
      </c>
      <c r="G11" s="80" t="str">
        <f t="shared" si="4"/>
        <v>Real (líquido) | DIFERENÇA</v>
      </c>
      <c r="H11" s="82">
        <f t="shared" ref="H11:S11" si="26">H8-H$8</f>
        <v>0</v>
      </c>
      <c r="I11" s="82">
        <f t="shared" si="26"/>
        <v>0</v>
      </c>
      <c r="J11" s="82">
        <f t="shared" si="26"/>
        <v>0</v>
      </c>
      <c r="K11" s="82">
        <f t="shared" si="26"/>
        <v>0</v>
      </c>
      <c r="L11" s="82">
        <f t="shared" si="26"/>
        <v>0</v>
      </c>
      <c r="M11" s="82">
        <f t="shared" si="26"/>
        <v>0</v>
      </c>
      <c r="N11" s="82">
        <f t="shared" si="26"/>
        <v>0</v>
      </c>
      <c r="O11" s="82">
        <f t="shared" si="26"/>
        <v>0</v>
      </c>
      <c r="P11" s="82">
        <f t="shared" si="26"/>
        <v>0</v>
      </c>
      <c r="Q11" s="82">
        <f t="shared" si="26"/>
        <v>0</v>
      </c>
      <c r="R11" s="82">
        <f t="shared" si="26"/>
        <v>0</v>
      </c>
      <c r="S11" s="82">
        <f t="shared" si="26"/>
        <v>0</v>
      </c>
      <c r="T11" s="82">
        <f t="shared" si="5"/>
        <v>0</v>
      </c>
      <c r="U11" s="82">
        <f t="shared" si="6"/>
        <v>0</v>
      </c>
      <c r="V11" s="58">
        <f t="shared" si="7"/>
        <v>0</v>
      </c>
      <c r="W11" s="58">
        <f t="shared" si="8"/>
        <v>0</v>
      </c>
    </row>
    <row r="12">
      <c r="A12" s="79" t="str">
        <f t="shared" ref="A12:B12" si="27">A9</f>
        <v>AFRFB</v>
      </c>
      <c r="B12" s="80" t="str">
        <f t="shared" si="27"/>
        <v>com BEP</v>
      </c>
      <c r="C12" s="79" t="str">
        <f t="shared" si="21"/>
        <v>Real</v>
      </c>
      <c r="D12" s="79" t="str">
        <f t="shared" si="24"/>
        <v>líquido</v>
      </c>
      <c r="E12" s="80" t="str">
        <f t="shared" si="22"/>
        <v>DIFERENÇA</v>
      </c>
      <c r="F12" s="80" t="str">
        <f t="shared" si="3"/>
        <v>AFRFB (com BEP)</v>
      </c>
      <c r="G12" s="80" t="str">
        <f t="shared" si="4"/>
        <v>Real (líquido) | DIFERENÇA</v>
      </c>
      <c r="H12" s="82">
        <f t="shared" ref="H12:S12" si="28">H9-H$8</f>
        <v>1.009647966</v>
      </c>
      <c r="I12" s="82">
        <f t="shared" si="28"/>
        <v>2.005502509</v>
      </c>
      <c r="J12" s="82">
        <f t="shared" si="28"/>
        <v>1.681069178</v>
      </c>
      <c r="K12" s="82">
        <f t="shared" si="28"/>
        <v>1.377849856</v>
      </c>
      <c r="L12" s="82">
        <f t="shared" si="28"/>
        <v>1.442403879</v>
      </c>
      <c r="M12" s="82">
        <f t="shared" si="28"/>
        <v>1.450857502</v>
      </c>
      <c r="N12" s="82">
        <f t="shared" si="28"/>
        <v>1.445109897</v>
      </c>
      <c r="O12" s="82">
        <f t="shared" si="28"/>
        <v>1.362920921</v>
      </c>
      <c r="P12" s="82">
        <f t="shared" si="28"/>
        <v>2.060802023</v>
      </c>
      <c r="Q12" s="82">
        <f t="shared" si="28"/>
        <v>1.585771633</v>
      </c>
      <c r="R12" s="82">
        <f t="shared" si="28"/>
        <v>1.894088966</v>
      </c>
      <c r="S12" s="82">
        <f t="shared" si="28"/>
        <v>2.104828214</v>
      </c>
      <c r="T12" s="82">
        <f t="shared" si="5"/>
        <v>6.074069508</v>
      </c>
      <c r="U12" s="82">
        <f t="shared" si="6"/>
        <v>5.701292198</v>
      </c>
      <c r="V12" s="58">
        <f t="shared" si="7"/>
        <v>7.645490837</v>
      </c>
      <c r="W12" s="58">
        <f t="shared" si="8"/>
        <v>19.42085254</v>
      </c>
    </row>
    <row r="13">
      <c r="A13" s="79" t="str">
        <f t="shared" ref="A13:B13" si="29">A10</f>
        <v>PFN</v>
      </c>
      <c r="B13" s="80" t="str">
        <f t="shared" si="29"/>
        <v>com HAS</v>
      </c>
      <c r="C13" s="79" t="str">
        <f t="shared" si="21"/>
        <v>Real</v>
      </c>
      <c r="D13" s="79" t="str">
        <f t="shared" si="24"/>
        <v>líquido</v>
      </c>
      <c r="E13" s="80" t="str">
        <f t="shared" si="22"/>
        <v>DIFERENÇA</v>
      </c>
      <c r="F13" s="80" t="str">
        <f t="shared" si="3"/>
        <v>PFN (com HAS)</v>
      </c>
      <c r="G13" s="80" t="str">
        <f t="shared" si="4"/>
        <v>Real (líquido) | DIFERENÇA</v>
      </c>
      <c r="H13" s="82">
        <f t="shared" ref="H13:S13" si="30">H10-H$8</f>
        <v>1.464493123</v>
      </c>
      <c r="I13" s="82">
        <f t="shared" si="30"/>
        <v>2.355964144</v>
      </c>
      <c r="J13" s="82">
        <f t="shared" si="30"/>
        <v>3.44961153</v>
      </c>
      <c r="K13" s="82">
        <f t="shared" si="30"/>
        <v>3.357489466</v>
      </c>
      <c r="L13" s="82">
        <f t="shared" si="30"/>
        <v>3.94431303</v>
      </c>
      <c r="M13" s="82">
        <f t="shared" si="30"/>
        <v>4.704440382</v>
      </c>
      <c r="N13" s="82">
        <f t="shared" si="30"/>
        <v>6.267247341</v>
      </c>
      <c r="O13" s="82">
        <f t="shared" si="30"/>
        <v>6.048069216</v>
      </c>
      <c r="P13" s="82">
        <f t="shared" si="30"/>
        <v>6.859378811</v>
      </c>
      <c r="Q13" s="82">
        <f t="shared" si="30"/>
        <v>6.08628616</v>
      </c>
      <c r="R13" s="82">
        <f t="shared" si="30"/>
        <v>4.789829904</v>
      </c>
      <c r="S13" s="82">
        <f t="shared" si="30"/>
        <v>4.390562714</v>
      </c>
      <c r="T13" s="82">
        <f t="shared" si="5"/>
        <v>10.62755826</v>
      </c>
      <c r="U13" s="82">
        <f t="shared" si="6"/>
        <v>20.96406997</v>
      </c>
      <c r="V13" s="58">
        <f t="shared" si="7"/>
        <v>22.12605759</v>
      </c>
      <c r="W13" s="58">
        <f t="shared" si="8"/>
        <v>53.71768582</v>
      </c>
    </row>
    <row r="14">
      <c r="A14" s="80" t="str">
        <f t="shared" ref="A14:A25" si="31">A11</f>
        <v>AFFC</v>
      </c>
      <c r="B14" s="80"/>
      <c r="C14" s="80" t="s">
        <v>125</v>
      </c>
      <c r="D14" s="80" t="str">
        <f t="shared" ref="D14:D25" si="32">D2</f>
        <v>bruto</v>
      </c>
      <c r="E14" s="80" t="str">
        <f t="shared" si="22"/>
        <v>MONTANTE</v>
      </c>
      <c r="F14" s="80" t="str">
        <f t="shared" si="3"/>
        <v>AFFC</v>
      </c>
      <c r="G14" s="80" t="str">
        <f t="shared" si="4"/>
        <v>Ideal (bruto) | MONTANTE</v>
      </c>
      <c r="H14" s="82">
        <f>HLOOKUP($A14,'Página25'!$A:$E,H$1-2016+2+24,FALSE)</f>
        <v>13.333</v>
      </c>
      <c r="I14" s="82">
        <f>HLOOKUP($A14,'Página25'!$A:$E,I$1-2016+2+24,FALSE)</f>
        <v>13.333</v>
      </c>
      <c r="J14" s="82">
        <f>HLOOKUP($A14,'Página25'!$A:$E,J$1-2016+2+24,FALSE)</f>
        <v>13.333</v>
      </c>
      <c r="K14" s="82">
        <f>HLOOKUP($A14,'Página25'!$A:$E,K$1-2016+2+24,FALSE)</f>
        <v>13.333</v>
      </c>
      <c r="L14" s="82">
        <f>HLOOKUP($A14,'Página25'!$A:$E,L$1-2016+2+24,FALSE)</f>
        <v>13.333</v>
      </c>
      <c r="M14" s="82">
        <f>HLOOKUP($A14,'Página25'!$A:$E,M$1-2016+2+24,FALSE)</f>
        <v>13.333</v>
      </c>
      <c r="N14" s="82">
        <f>HLOOKUP($A14,'Página25'!$A:$E,N$1-2016+2+24,FALSE)</f>
        <v>13.333</v>
      </c>
      <c r="O14" s="82">
        <f>HLOOKUP($A14,'Página25'!$A:$E,O$1-2016+2+24,FALSE)</f>
        <v>13.333</v>
      </c>
      <c r="P14" s="82">
        <f>HLOOKUP($A14,'Página25'!$A:$E,P$1-2016+2+24,FALSE)</f>
        <v>13.333</v>
      </c>
      <c r="Q14" s="82">
        <f>HLOOKUP($A14,'Página25'!$A:$E,Q$1-2016+2+24,FALSE)</f>
        <v>13.333</v>
      </c>
      <c r="R14" s="82">
        <f>HLOOKUP($A14,'Página25'!$A:$E,R$1-2016+2+24,FALSE)</f>
        <v>13.333</v>
      </c>
      <c r="S14" s="82">
        <f>HLOOKUP($A14,'Página25'!$A:$E,S$1-2016+2+24,FALSE)</f>
        <v>13.333</v>
      </c>
      <c r="T14" s="82">
        <f t="shared" si="5"/>
        <v>53.332</v>
      </c>
      <c r="U14" s="82">
        <f t="shared" si="6"/>
        <v>53.332</v>
      </c>
      <c r="V14" s="58">
        <f t="shared" si="7"/>
        <v>53.332</v>
      </c>
      <c r="W14" s="58">
        <f t="shared" si="8"/>
        <v>159.996</v>
      </c>
    </row>
    <row r="15">
      <c r="A15" s="80" t="str">
        <f t="shared" si="31"/>
        <v>AFRFB</v>
      </c>
      <c r="B15" s="80" t="s">
        <v>126</v>
      </c>
      <c r="C15" s="79" t="str">
        <f t="shared" ref="C15:C25" si="33">C14</f>
        <v>Ideal</v>
      </c>
      <c r="D15" s="80" t="str">
        <f t="shared" si="32"/>
        <v>bruto</v>
      </c>
      <c r="E15" s="80" t="str">
        <f t="shared" si="22"/>
        <v>MONTANTE</v>
      </c>
      <c r="F15" s="80" t="str">
        <f t="shared" si="3"/>
        <v>AFRFB (sem BEP)</v>
      </c>
      <c r="G15" s="80" t="str">
        <f t="shared" si="4"/>
        <v>Ideal (bruto) | MONTANTE</v>
      </c>
      <c r="H15" s="82">
        <f>HLOOKUP($A15,'Página25'!$A:$E,H$1-2016+2+24,FALSE)</f>
        <v>14.03473684</v>
      </c>
      <c r="I15" s="82">
        <f>HLOOKUP($A15,'Página25'!$A:$E,I$1-2016+2+24,FALSE)</f>
        <v>14.03473684</v>
      </c>
      <c r="J15" s="82">
        <f>HLOOKUP($A15,'Página25'!$A:$E,J$1-2016+2+24,FALSE)</f>
        <v>14.03473684</v>
      </c>
      <c r="K15" s="82">
        <f>HLOOKUP($A15,'Página25'!$A:$E,K$1-2016+2+24,FALSE)</f>
        <v>14.03473684</v>
      </c>
      <c r="L15" s="82">
        <f>HLOOKUP($A15,'Página25'!$A:$E,L$1-2016+2+24,FALSE)</f>
        <v>14.03473684</v>
      </c>
      <c r="M15" s="82">
        <f>HLOOKUP($A15,'Página25'!$A:$E,M$1-2016+2+24,FALSE)</f>
        <v>14.03473684</v>
      </c>
      <c r="N15" s="82">
        <f>HLOOKUP($A15,'Página25'!$A:$E,N$1-2016+2+24,FALSE)</f>
        <v>14.03473684</v>
      </c>
      <c r="O15" s="82">
        <f>HLOOKUP($A15,'Página25'!$A:$E,O$1-2016+2+24,FALSE)</f>
        <v>14.03473684</v>
      </c>
      <c r="P15" s="82">
        <f>HLOOKUP($A15,'Página25'!$A:$E,P$1-2016+2+24,FALSE)</f>
        <v>14.03473684</v>
      </c>
      <c r="Q15" s="82">
        <f>HLOOKUP($A15,'Página25'!$A:$E,Q$1-2016+2+24,FALSE)</f>
        <v>14.03473684</v>
      </c>
      <c r="R15" s="82">
        <f>HLOOKUP($A15,'Página25'!$A:$E,R$1-2016+2+24,FALSE)</f>
        <v>14.03473684</v>
      </c>
      <c r="S15" s="82">
        <f>HLOOKUP($A15,'Página25'!$A:$E,S$1-2016+2+24,FALSE)</f>
        <v>14.03473684</v>
      </c>
      <c r="T15" s="82">
        <f t="shared" si="5"/>
        <v>56.13894737</v>
      </c>
      <c r="U15" s="82">
        <f t="shared" si="6"/>
        <v>56.13894737</v>
      </c>
      <c r="V15" s="58">
        <f t="shared" si="7"/>
        <v>56.13894737</v>
      </c>
      <c r="W15" s="58">
        <f t="shared" si="8"/>
        <v>168.4168421</v>
      </c>
    </row>
    <row r="16">
      <c r="A16" s="80" t="str">
        <f t="shared" si="31"/>
        <v>PFN</v>
      </c>
      <c r="B16" s="80" t="s">
        <v>127</v>
      </c>
      <c r="C16" s="79" t="str">
        <f t="shared" si="33"/>
        <v>Ideal</v>
      </c>
      <c r="D16" s="80" t="str">
        <f t="shared" si="32"/>
        <v>bruto</v>
      </c>
      <c r="E16" s="80" t="str">
        <f t="shared" si="22"/>
        <v>MONTANTE</v>
      </c>
      <c r="F16" s="80" t="str">
        <f t="shared" si="3"/>
        <v>PFN (sem HAS)</v>
      </c>
      <c r="G16" s="80" t="str">
        <f t="shared" si="4"/>
        <v>Ideal (bruto) | MONTANTE</v>
      </c>
      <c r="H16" s="82">
        <f>HLOOKUP($A16,'Página25'!$A:$E,H$1-2016+2+24,FALSE)</f>
        <v>14.03473684</v>
      </c>
      <c r="I16" s="82">
        <f>HLOOKUP($A16,'Página25'!$A:$E,I$1-2016+2+24,FALSE)</f>
        <v>14.03473684</v>
      </c>
      <c r="J16" s="82">
        <f>HLOOKUP($A16,'Página25'!$A:$E,J$1-2016+2+24,FALSE)</f>
        <v>14.03473684</v>
      </c>
      <c r="K16" s="82">
        <f>HLOOKUP($A16,'Página25'!$A:$E,K$1-2016+2+24,FALSE)</f>
        <v>14.03473684</v>
      </c>
      <c r="L16" s="82">
        <f>HLOOKUP($A16,'Página25'!$A:$E,L$1-2016+2+24,FALSE)</f>
        <v>14.03473684</v>
      </c>
      <c r="M16" s="82">
        <f>HLOOKUP($A16,'Página25'!$A:$E,M$1-2016+2+24,FALSE)</f>
        <v>14.03473684</v>
      </c>
      <c r="N16" s="82">
        <f>HLOOKUP($A16,'Página25'!$A:$E,N$1-2016+2+24,FALSE)</f>
        <v>14.03473684</v>
      </c>
      <c r="O16" s="82">
        <f>HLOOKUP($A16,'Página25'!$A:$E,O$1-2016+2+24,FALSE)</f>
        <v>14.03473684</v>
      </c>
      <c r="P16" s="82">
        <f>HLOOKUP($A16,'Página25'!$A:$E,P$1-2016+2+24,FALSE)</f>
        <v>14.03473684</v>
      </c>
      <c r="Q16" s="82">
        <f>HLOOKUP($A16,'Página25'!$A:$E,Q$1-2016+2+24,FALSE)</f>
        <v>14.03473684</v>
      </c>
      <c r="R16" s="82">
        <f>HLOOKUP($A16,'Página25'!$A:$E,R$1-2016+2+24,FALSE)</f>
        <v>14.03473684</v>
      </c>
      <c r="S16" s="82">
        <f>HLOOKUP($A16,'Página25'!$A:$E,S$1-2016+2+24,FALSE)</f>
        <v>14.03473684</v>
      </c>
      <c r="T16" s="82">
        <f t="shared" si="5"/>
        <v>56.13894737</v>
      </c>
      <c r="U16" s="82">
        <f t="shared" si="6"/>
        <v>56.13894737</v>
      </c>
      <c r="V16" s="58">
        <f t="shared" si="7"/>
        <v>56.13894737</v>
      </c>
      <c r="W16" s="58">
        <f t="shared" si="8"/>
        <v>168.4168421</v>
      </c>
    </row>
    <row r="17">
      <c r="A17" s="80" t="str">
        <f t="shared" si="31"/>
        <v>AFFC</v>
      </c>
      <c r="B17" s="80" t="str">
        <f t="shared" ref="B17:B25" si="35">B14</f>
        <v/>
      </c>
      <c r="C17" s="79" t="str">
        <f t="shared" si="33"/>
        <v>Ideal</v>
      </c>
      <c r="D17" s="80" t="str">
        <f t="shared" si="32"/>
        <v>bruto</v>
      </c>
      <c r="E17" s="80" t="str">
        <f t="shared" si="22"/>
        <v>DIFERENÇA</v>
      </c>
      <c r="F17" s="80" t="str">
        <f t="shared" si="3"/>
        <v>AFFC</v>
      </c>
      <c r="G17" s="80" t="str">
        <f t="shared" si="4"/>
        <v>Ideal (bruto) | DIFERENÇA</v>
      </c>
      <c r="H17" s="82">
        <f t="shared" ref="H17:S17" si="34">H14-H$14</f>
        <v>0</v>
      </c>
      <c r="I17" s="82">
        <f t="shared" si="34"/>
        <v>0</v>
      </c>
      <c r="J17" s="82">
        <f t="shared" si="34"/>
        <v>0</v>
      </c>
      <c r="K17" s="82">
        <f t="shared" si="34"/>
        <v>0</v>
      </c>
      <c r="L17" s="82">
        <f t="shared" si="34"/>
        <v>0</v>
      </c>
      <c r="M17" s="82">
        <f t="shared" si="34"/>
        <v>0</v>
      </c>
      <c r="N17" s="82">
        <f t="shared" si="34"/>
        <v>0</v>
      </c>
      <c r="O17" s="82">
        <f t="shared" si="34"/>
        <v>0</v>
      </c>
      <c r="P17" s="82">
        <f t="shared" si="34"/>
        <v>0</v>
      </c>
      <c r="Q17" s="82">
        <f t="shared" si="34"/>
        <v>0</v>
      </c>
      <c r="R17" s="82">
        <f t="shared" si="34"/>
        <v>0</v>
      </c>
      <c r="S17" s="82">
        <f t="shared" si="34"/>
        <v>0</v>
      </c>
      <c r="T17" s="82">
        <f t="shared" si="5"/>
        <v>0</v>
      </c>
      <c r="U17" s="82">
        <f t="shared" si="6"/>
        <v>0</v>
      </c>
      <c r="V17" s="58">
        <f t="shared" si="7"/>
        <v>0</v>
      </c>
      <c r="W17" s="58">
        <f t="shared" si="8"/>
        <v>0</v>
      </c>
    </row>
    <row r="18">
      <c r="A18" s="80" t="str">
        <f t="shared" si="31"/>
        <v>AFRFB</v>
      </c>
      <c r="B18" s="80" t="str">
        <f t="shared" si="35"/>
        <v>sem BEP</v>
      </c>
      <c r="C18" s="79" t="str">
        <f t="shared" si="33"/>
        <v>Ideal</v>
      </c>
      <c r="D18" s="80" t="str">
        <f t="shared" si="32"/>
        <v>bruto</v>
      </c>
      <c r="E18" s="80" t="str">
        <f t="shared" si="22"/>
        <v>DIFERENÇA</v>
      </c>
      <c r="F18" s="80" t="str">
        <f t="shared" si="3"/>
        <v>AFRFB (sem BEP)</v>
      </c>
      <c r="G18" s="80" t="str">
        <f t="shared" si="4"/>
        <v>Ideal (bruto) | DIFERENÇA</v>
      </c>
      <c r="H18" s="82">
        <f t="shared" ref="H18:S18" si="36">H15-H$14</f>
        <v>0.7017368421</v>
      </c>
      <c r="I18" s="82">
        <f t="shared" si="36"/>
        <v>0.7017368421</v>
      </c>
      <c r="J18" s="82">
        <f t="shared" si="36"/>
        <v>0.7017368421</v>
      </c>
      <c r="K18" s="82">
        <f t="shared" si="36"/>
        <v>0.7017368421</v>
      </c>
      <c r="L18" s="82">
        <f t="shared" si="36"/>
        <v>0.7017368421</v>
      </c>
      <c r="M18" s="82">
        <f t="shared" si="36"/>
        <v>0.7017368421</v>
      </c>
      <c r="N18" s="82">
        <f t="shared" si="36"/>
        <v>0.7017368421</v>
      </c>
      <c r="O18" s="82">
        <f t="shared" si="36"/>
        <v>0.7017368421</v>
      </c>
      <c r="P18" s="82">
        <f t="shared" si="36"/>
        <v>0.7017368421</v>
      </c>
      <c r="Q18" s="82">
        <f t="shared" si="36"/>
        <v>0.7017368421</v>
      </c>
      <c r="R18" s="82">
        <f t="shared" si="36"/>
        <v>0.7017368421</v>
      </c>
      <c r="S18" s="82">
        <f t="shared" si="36"/>
        <v>0.7017368421</v>
      </c>
      <c r="T18" s="82">
        <f t="shared" si="5"/>
        <v>2.806947368</v>
      </c>
      <c r="U18" s="82">
        <f t="shared" si="6"/>
        <v>2.806947368</v>
      </c>
      <c r="V18" s="58">
        <f t="shared" si="7"/>
        <v>2.806947368</v>
      </c>
      <c r="W18" s="58">
        <f t="shared" si="8"/>
        <v>8.420842105</v>
      </c>
    </row>
    <row r="19">
      <c r="A19" s="80" t="str">
        <f t="shared" si="31"/>
        <v>PFN</v>
      </c>
      <c r="B19" s="80" t="str">
        <f t="shared" si="35"/>
        <v>sem HAS</v>
      </c>
      <c r="C19" s="79" t="str">
        <f t="shared" si="33"/>
        <v>Ideal</v>
      </c>
      <c r="D19" s="80" t="str">
        <f t="shared" si="32"/>
        <v>bruto</v>
      </c>
      <c r="E19" s="80" t="str">
        <f t="shared" si="22"/>
        <v>DIFERENÇA</v>
      </c>
      <c r="F19" s="80" t="str">
        <f t="shared" si="3"/>
        <v>PFN (sem HAS)</v>
      </c>
      <c r="G19" s="80" t="str">
        <f t="shared" si="4"/>
        <v>Ideal (bruto) | DIFERENÇA</v>
      </c>
      <c r="H19" s="82">
        <f t="shared" ref="H19:S19" si="37">H16-H$14</f>
        <v>0.7017368421</v>
      </c>
      <c r="I19" s="82">
        <f t="shared" si="37"/>
        <v>0.7017368421</v>
      </c>
      <c r="J19" s="82">
        <f t="shared" si="37"/>
        <v>0.7017368421</v>
      </c>
      <c r="K19" s="82">
        <f t="shared" si="37"/>
        <v>0.7017368421</v>
      </c>
      <c r="L19" s="82">
        <f t="shared" si="37"/>
        <v>0.7017368421</v>
      </c>
      <c r="M19" s="82">
        <f t="shared" si="37"/>
        <v>0.7017368421</v>
      </c>
      <c r="N19" s="82">
        <f t="shared" si="37"/>
        <v>0.7017368421</v>
      </c>
      <c r="O19" s="82">
        <f t="shared" si="37"/>
        <v>0.7017368421</v>
      </c>
      <c r="P19" s="82">
        <f t="shared" si="37"/>
        <v>0.7017368421</v>
      </c>
      <c r="Q19" s="82">
        <f t="shared" si="37"/>
        <v>0.7017368421</v>
      </c>
      <c r="R19" s="82">
        <f t="shared" si="37"/>
        <v>0.7017368421</v>
      </c>
      <c r="S19" s="82">
        <f t="shared" si="37"/>
        <v>0.7017368421</v>
      </c>
      <c r="T19" s="82">
        <f t="shared" si="5"/>
        <v>2.806947368</v>
      </c>
      <c r="U19" s="82">
        <f t="shared" si="6"/>
        <v>2.806947368</v>
      </c>
      <c r="V19" s="58">
        <f t="shared" si="7"/>
        <v>2.806947368</v>
      </c>
      <c r="W19" s="58">
        <f t="shared" si="8"/>
        <v>8.420842105</v>
      </c>
    </row>
    <row r="20">
      <c r="A20" s="80" t="str">
        <f t="shared" si="31"/>
        <v>AFFC</v>
      </c>
      <c r="B20" s="80" t="str">
        <f t="shared" si="35"/>
        <v/>
      </c>
      <c r="C20" s="79" t="str">
        <f t="shared" si="33"/>
        <v>Ideal</v>
      </c>
      <c r="D20" s="80" t="str">
        <f t="shared" si="32"/>
        <v>líquido</v>
      </c>
      <c r="E20" s="80" t="str">
        <f t="shared" si="22"/>
        <v>MONTANTE</v>
      </c>
      <c r="F20" s="80" t="str">
        <f t="shared" si="3"/>
        <v>AFFC</v>
      </c>
      <c r="G20" s="80" t="str">
        <f t="shared" si="4"/>
        <v>Ideal (líquido) | MONTANTE</v>
      </c>
      <c r="H20" s="82">
        <f>HLOOKUP($A20,'Página25'!$A:$E,H$1-2016+2+36,FALSE)</f>
        <v>13.333</v>
      </c>
      <c r="I20" s="82">
        <f>HLOOKUP($A20,'Página25'!$A:$E,I$1-2016+2+36,FALSE)</f>
        <v>13.333</v>
      </c>
      <c r="J20" s="82">
        <f>HLOOKUP($A20,'Página25'!$A:$E,J$1-2016+2+36,FALSE)</f>
        <v>13.333</v>
      </c>
      <c r="K20" s="82">
        <f>HLOOKUP($A20,'Página25'!$A:$E,K$1-2016+2+36,FALSE)</f>
        <v>13.333</v>
      </c>
      <c r="L20" s="82">
        <f>HLOOKUP($A20,'Página25'!$A:$E,L$1-2016+2+36,FALSE)</f>
        <v>13.333</v>
      </c>
      <c r="M20" s="82">
        <f>HLOOKUP($A20,'Página25'!$A:$E,M$1-2016+2+36,FALSE)</f>
        <v>13.333</v>
      </c>
      <c r="N20" s="82">
        <f>HLOOKUP($A20,'Página25'!$A:$E,N$1-2016+2+36,FALSE)</f>
        <v>13.333</v>
      </c>
      <c r="O20" s="82">
        <f>HLOOKUP($A20,'Página25'!$A:$E,O$1-2016+2+36,FALSE)</f>
        <v>13.333</v>
      </c>
      <c r="P20" s="82">
        <f>HLOOKUP($A20,'Página25'!$A:$E,P$1-2016+2+36,FALSE)</f>
        <v>13.333</v>
      </c>
      <c r="Q20" s="82">
        <f>HLOOKUP($A20,'Página25'!$A:$E,Q$1-2016+2+36,FALSE)</f>
        <v>13.333</v>
      </c>
      <c r="R20" s="82">
        <f>HLOOKUP($A20,'Página25'!$A:$E,R$1-2016+2+36,FALSE)</f>
        <v>13.333</v>
      </c>
      <c r="S20" s="82">
        <f>HLOOKUP($A20,'Página25'!$A:$E,S$1-2016+2+36,FALSE)</f>
        <v>13.333</v>
      </c>
      <c r="T20" s="82">
        <f t="shared" si="5"/>
        <v>53.332</v>
      </c>
      <c r="U20" s="82">
        <f t="shared" si="6"/>
        <v>53.332</v>
      </c>
      <c r="V20" s="58">
        <f t="shared" si="7"/>
        <v>53.332</v>
      </c>
      <c r="W20" s="58">
        <f t="shared" si="8"/>
        <v>159.996</v>
      </c>
    </row>
    <row r="21">
      <c r="A21" s="80" t="str">
        <f t="shared" si="31"/>
        <v>AFRFB</v>
      </c>
      <c r="B21" s="80" t="str">
        <f t="shared" si="35"/>
        <v>sem BEP</v>
      </c>
      <c r="C21" s="79" t="str">
        <f t="shared" si="33"/>
        <v>Ideal</v>
      </c>
      <c r="D21" s="80" t="str">
        <f t="shared" si="32"/>
        <v>líquido</v>
      </c>
      <c r="E21" s="80" t="str">
        <f t="shared" si="22"/>
        <v>MONTANTE</v>
      </c>
      <c r="F21" s="80" t="str">
        <f t="shared" si="3"/>
        <v>AFRFB (sem BEP)</v>
      </c>
      <c r="G21" s="80" t="str">
        <f t="shared" si="4"/>
        <v>Ideal (líquido) | MONTANTE</v>
      </c>
      <c r="H21" s="82">
        <f>HLOOKUP($A21,'Página25'!$A:$E,H$1-2016+2+36,FALSE)</f>
        <v>13.99413085</v>
      </c>
      <c r="I21" s="82">
        <f>HLOOKUP($A21,'Página25'!$A:$E,I$1-2016+2+36,FALSE)</f>
        <v>13.99764116</v>
      </c>
      <c r="J21" s="82">
        <f>HLOOKUP($A21,'Página25'!$A:$E,J$1-2016+2+36,FALSE)</f>
        <v>13.99984173</v>
      </c>
      <c r="K21" s="82">
        <f>HLOOKUP($A21,'Página25'!$A:$E,K$1-2016+2+36,FALSE)</f>
        <v>14.00181108</v>
      </c>
      <c r="L21" s="82">
        <f>HLOOKUP($A21,'Página25'!$A:$E,L$1-2016+2+36,FALSE)</f>
        <v>13.97814283</v>
      </c>
      <c r="M21" s="82">
        <f>HLOOKUP($A21,'Página25'!$A:$E,M$1-2016+2+36,FALSE)</f>
        <v>13.97266487</v>
      </c>
      <c r="N21" s="82">
        <f>HLOOKUP($A21,'Página25'!$A:$E,N$1-2016+2+36,FALSE)</f>
        <v>13.97013082</v>
      </c>
      <c r="O21" s="82">
        <f>HLOOKUP($A21,'Página25'!$A:$E,O$1-2016+2+36,FALSE)</f>
        <v>13.97163143</v>
      </c>
      <c r="P21" s="82">
        <f>HLOOKUP($A21,'Página25'!$A:$E,P$1-2016+2+36,FALSE)</f>
        <v>13.97162148</v>
      </c>
      <c r="Q21" s="82">
        <f>HLOOKUP($A21,'Página25'!$A:$E,Q$1-2016+2+36,FALSE)</f>
        <v>13.97729498</v>
      </c>
      <c r="R21" s="82">
        <f>HLOOKUP($A21,'Página25'!$A:$E,R$1-2016+2+36,FALSE)</f>
        <v>13.98134605</v>
      </c>
      <c r="S21" s="82">
        <f>HLOOKUP($A21,'Página25'!$A:$E,S$1-2016+2+36,FALSE)</f>
        <v>13.98252221</v>
      </c>
      <c r="T21" s="82">
        <f t="shared" si="5"/>
        <v>55.99342481</v>
      </c>
      <c r="U21" s="82">
        <f t="shared" si="6"/>
        <v>55.89256996</v>
      </c>
      <c r="V21" s="58">
        <f t="shared" si="7"/>
        <v>55.91278472</v>
      </c>
      <c r="W21" s="58">
        <f t="shared" si="8"/>
        <v>167.7987795</v>
      </c>
    </row>
    <row r="22">
      <c r="A22" s="80" t="str">
        <f t="shared" si="31"/>
        <v>PFN</v>
      </c>
      <c r="B22" s="80" t="str">
        <f t="shared" si="35"/>
        <v>sem HAS</v>
      </c>
      <c r="C22" s="79" t="str">
        <f t="shared" si="33"/>
        <v>Ideal</v>
      </c>
      <c r="D22" s="80" t="str">
        <f t="shared" si="32"/>
        <v>líquido</v>
      </c>
      <c r="E22" s="80" t="str">
        <f t="shared" si="22"/>
        <v>MONTANTE</v>
      </c>
      <c r="F22" s="80" t="str">
        <f t="shared" si="3"/>
        <v>PFN (sem HAS)</v>
      </c>
      <c r="G22" s="80" t="str">
        <f t="shared" si="4"/>
        <v>Ideal (líquido) | MONTANTE</v>
      </c>
      <c r="H22" s="82">
        <f>HLOOKUP($A22,'Página25'!$A:$E,H$1-2016+2+36,FALSE)</f>
        <v>13.99413085</v>
      </c>
      <c r="I22" s="82">
        <f>HLOOKUP($A22,'Página25'!$A:$E,I$1-2016+2+36,FALSE)</f>
        <v>13.99764116</v>
      </c>
      <c r="J22" s="82">
        <f>HLOOKUP($A22,'Página25'!$A:$E,J$1-2016+2+36,FALSE)</f>
        <v>13.99984173</v>
      </c>
      <c r="K22" s="82">
        <f>HLOOKUP($A22,'Página25'!$A:$E,K$1-2016+2+36,FALSE)</f>
        <v>14.00181108</v>
      </c>
      <c r="L22" s="82">
        <f>HLOOKUP($A22,'Página25'!$A:$E,L$1-2016+2+36,FALSE)</f>
        <v>13.97814283</v>
      </c>
      <c r="M22" s="82">
        <f>HLOOKUP($A22,'Página25'!$A:$E,M$1-2016+2+36,FALSE)</f>
        <v>13.97266487</v>
      </c>
      <c r="N22" s="82">
        <f>HLOOKUP($A22,'Página25'!$A:$E,N$1-2016+2+36,FALSE)</f>
        <v>13.97013082</v>
      </c>
      <c r="O22" s="82">
        <f>HLOOKUP($A22,'Página25'!$A:$E,O$1-2016+2+36,FALSE)</f>
        <v>13.97163143</v>
      </c>
      <c r="P22" s="82">
        <f>HLOOKUP($A22,'Página25'!$A:$E,P$1-2016+2+36,FALSE)</f>
        <v>13.97162148</v>
      </c>
      <c r="Q22" s="82">
        <f>HLOOKUP($A22,'Página25'!$A:$E,Q$1-2016+2+36,FALSE)</f>
        <v>13.97729498</v>
      </c>
      <c r="R22" s="82">
        <f>HLOOKUP($A22,'Página25'!$A:$E,R$1-2016+2+36,FALSE)</f>
        <v>13.98134605</v>
      </c>
      <c r="S22" s="82">
        <f>HLOOKUP($A22,'Página25'!$A:$E,S$1-2016+2+36,FALSE)</f>
        <v>13.98252221</v>
      </c>
      <c r="T22" s="82">
        <f t="shared" si="5"/>
        <v>55.99342481</v>
      </c>
      <c r="U22" s="82">
        <f t="shared" si="6"/>
        <v>55.89256996</v>
      </c>
      <c r="V22" s="58">
        <f t="shared" si="7"/>
        <v>55.91278472</v>
      </c>
      <c r="W22" s="58">
        <f t="shared" si="8"/>
        <v>167.7987795</v>
      </c>
    </row>
    <row r="23">
      <c r="A23" s="80" t="str">
        <f t="shared" si="31"/>
        <v>AFFC</v>
      </c>
      <c r="B23" s="80" t="str">
        <f t="shared" si="35"/>
        <v/>
      </c>
      <c r="C23" s="79" t="str">
        <f t="shared" si="33"/>
        <v>Ideal</v>
      </c>
      <c r="D23" s="80" t="str">
        <f t="shared" si="32"/>
        <v>líquido</v>
      </c>
      <c r="E23" s="80" t="str">
        <f t="shared" si="22"/>
        <v>DIFERENÇA</v>
      </c>
      <c r="F23" s="80" t="str">
        <f t="shared" si="3"/>
        <v>AFFC</v>
      </c>
      <c r="G23" s="80" t="str">
        <f t="shared" si="4"/>
        <v>Ideal (líquido) | DIFERENÇA</v>
      </c>
      <c r="H23" s="82">
        <f t="shared" ref="H23:S23" si="38">H20-H$20</f>
        <v>0</v>
      </c>
      <c r="I23" s="82">
        <f t="shared" si="38"/>
        <v>0</v>
      </c>
      <c r="J23" s="82">
        <f t="shared" si="38"/>
        <v>0</v>
      </c>
      <c r="K23" s="82">
        <f t="shared" si="38"/>
        <v>0</v>
      </c>
      <c r="L23" s="82">
        <f t="shared" si="38"/>
        <v>0</v>
      </c>
      <c r="M23" s="82">
        <f t="shared" si="38"/>
        <v>0</v>
      </c>
      <c r="N23" s="82">
        <f t="shared" si="38"/>
        <v>0</v>
      </c>
      <c r="O23" s="82">
        <f t="shared" si="38"/>
        <v>0</v>
      </c>
      <c r="P23" s="82">
        <f t="shared" si="38"/>
        <v>0</v>
      </c>
      <c r="Q23" s="82">
        <f t="shared" si="38"/>
        <v>0</v>
      </c>
      <c r="R23" s="82">
        <f t="shared" si="38"/>
        <v>0</v>
      </c>
      <c r="S23" s="82">
        <f t="shared" si="38"/>
        <v>0</v>
      </c>
      <c r="T23" s="82">
        <f t="shared" si="5"/>
        <v>0</v>
      </c>
      <c r="U23" s="82">
        <f t="shared" si="6"/>
        <v>0</v>
      </c>
      <c r="V23" s="58">
        <f t="shared" si="7"/>
        <v>0</v>
      </c>
      <c r="W23" s="58">
        <f t="shared" si="8"/>
        <v>0</v>
      </c>
    </row>
    <row r="24">
      <c r="A24" s="80" t="str">
        <f t="shared" si="31"/>
        <v>AFRFB</v>
      </c>
      <c r="B24" s="80" t="str">
        <f t="shared" si="35"/>
        <v>sem BEP</v>
      </c>
      <c r="C24" s="79" t="str">
        <f t="shared" si="33"/>
        <v>Ideal</v>
      </c>
      <c r="D24" s="80" t="str">
        <f t="shared" si="32"/>
        <v>líquido</v>
      </c>
      <c r="E24" s="80" t="str">
        <f t="shared" si="22"/>
        <v>DIFERENÇA</v>
      </c>
      <c r="F24" s="80" t="str">
        <f t="shared" si="3"/>
        <v>AFRFB (sem BEP)</v>
      </c>
      <c r="G24" s="80" t="str">
        <f t="shared" si="4"/>
        <v>Ideal (líquido) | DIFERENÇA</v>
      </c>
      <c r="H24" s="82">
        <f t="shared" ref="H24:S24" si="39">H21-H$20</f>
        <v>0.661130851</v>
      </c>
      <c r="I24" s="82">
        <f t="shared" si="39"/>
        <v>0.664641156</v>
      </c>
      <c r="J24" s="82">
        <f t="shared" si="39"/>
        <v>0.6668417299</v>
      </c>
      <c r="K24" s="82">
        <f t="shared" si="39"/>
        <v>0.6688110773</v>
      </c>
      <c r="L24" s="82">
        <f t="shared" si="39"/>
        <v>0.6451428287</v>
      </c>
      <c r="M24" s="82">
        <f t="shared" si="39"/>
        <v>0.6396648716</v>
      </c>
      <c r="N24" s="82">
        <f t="shared" si="39"/>
        <v>0.6371308246</v>
      </c>
      <c r="O24" s="82">
        <f t="shared" si="39"/>
        <v>0.6386314347</v>
      </c>
      <c r="P24" s="82">
        <f t="shared" si="39"/>
        <v>0.6386214837</v>
      </c>
      <c r="Q24" s="82">
        <f t="shared" si="39"/>
        <v>0.6442949767</v>
      </c>
      <c r="R24" s="82">
        <f t="shared" si="39"/>
        <v>0.6483460498</v>
      </c>
      <c r="S24" s="82">
        <f t="shared" si="39"/>
        <v>0.6495222058</v>
      </c>
      <c r="T24" s="82">
        <f t="shared" si="5"/>
        <v>2.661424814</v>
      </c>
      <c r="U24" s="82">
        <f t="shared" si="6"/>
        <v>2.56056996</v>
      </c>
      <c r="V24" s="58">
        <f t="shared" si="7"/>
        <v>2.580784716</v>
      </c>
      <c r="W24" s="58">
        <f t="shared" si="8"/>
        <v>7.80277949</v>
      </c>
    </row>
    <row r="25">
      <c r="A25" s="80" t="str">
        <f t="shared" si="31"/>
        <v>PFN</v>
      </c>
      <c r="B25" s="80" t="str">
        <f t="shared" si="35"/>
        <v>sem HAS</v>
      </c>
      <c r="C25" s="79" t="str">
        <f t="shared" si="33"/>
        <v>Ideal</v>
      </c>
      <c r="D25" s="80" t="str">
        <f t="shared" si="32"/>
        <v>líquido</v>
      </c>
      <c r="E25" s="80" t="str">
        <f t="shared" si="22"/>
        <v>DIFERENÇA</v>
      </c>
      <c r="F25" s="80" t="str">
        <f t="shared" si="3"/>
        <v>PFN (sem HAS)</v>
      </c>
      <c r="G25" s="80" t="str">
        <f t="shared" si="4"/>
        <v>Ideal (líquido) | DIFERENÇA</v>
      </c>
      <c r="H25" s="82">
        <f t="shared" ref="H25:S25" si="40">H22-H$20</f>
        <v>0.661130851</v>
      </c>
      <c r="I25" s="82">
        <f t="shared" si="40"/>
        <v>0.664641156</v>
      </c>
      <c r="J25" s="82">
        <f t="shared" si="40"/>
        <v>0.6668417299</v>
      </c>
      <c r="K25" s="82">
        <f t="shared" si="40"/>
        <v>0.6688110773</v>
      </c>
      <c r="L25" s="82">
        <f t="shared" si="40"/>
        <v>0.6451428287</v>
      </c>
      <c r="M25" s="82">
        <f t="shared" si="40"/>
        <v>0.6396648716</v>
      </c>
      <c r="N25" s="82">
        <f t="shared" si="40"/>
        <v>0.6371308246</v>
      </c>
      <c r="O25" s="82">
        <f t="shared" si="40"/>
        <v>0.6386314347</v>
      </c>
      <c r="P25" s="82">
        <f t="shared" si="40"/>
        <v>0.6386214837</v>
      </c>
      <c r="Q25" s="82">
        <f t="shared" si="40"/>
        <v>0.6442949767</v>
      </c>
      <c r="R25" s="82">
        <f t="shared" si="40"/>
        <v>0.6483460498</v>
      </c>
      <c r="S25" s="82">
        <f t="shared" si="40"/>
        <v>0.6495222058</v>
      </c>
      <c r="T25" s="82">
        <f t="shared" si="5"/>
        <v>2.661424814</v>
      </c>
      <c r="U25" s="82">
        <f t="shared" si="6"/>
        <v>2.56056996</v>
      </c>
      <c r="V25" s="58">
        <f t="shared" si="7"/>
        <v>2.580784716</v>
      </c>
      <c r="W25" s="58">
        <f t="shared" si="8"/>
        <v>7.80277949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12.88"/>
    <col customWidth="1" min="3" max="3" width="12.75"/>
    <col customWidth="1" min="4" max="4" width="12.88"/>
    <col customWidth="1" min="5" max="5" width="13.0"/>
    <col customWidth="1" min="6" max="6" width="13.88"/>
    <col customWidth="1" min="7" max="7" width="14.75"/>
    <col customWidth="1" min="8" max="8" width="14.0"/>
    <col customWidth="1" min="9" max="9" width="14.88"/>
    <col customWidth="1" min="10" max="10" width="12.88"/>
    <col customWidth="1" min="11" max="11" width="11.25"/>
    <col customWidth="1" min="12" max="12" width="16.88"/>
    <col customWidth="1" min="13" max="15" width="12.88"/>
  </cols>
  <sheetData>
    <row r="1">
      <c r="A1" s="39" t="s">
        <v>9</v>
      </c>
      <c r="B1" s="40" t="s">
        <v>19</v>
      </c>
      <c r="C1" s="41" t="s">
        <v>20</v>
      </c>
      <c r="D1" s="40" t="s">
        <v>21</v>
      </c>
      <c r="E1" s="41" t="s">
        <v>22</v>
      </c>
      <c r="F1" s="40" t="s">
        <v>23</v>
      </c>
      <c r="G1" s="41" t="s">
        <v>24</v>
      </c>
      <c r="H1" s="40" t="s">
        <v>25</v>
      </c>
      <c r="I1" s="41" t="s">
        <v>26</v>
      </c>
      <c r="J1" s="40" t="s">
        <v>27</v>
      </c>
      <c r="K1" s="41" t="s">
        <v>28</v>
      </c>
      <c r="L1" s="41" t="s">
        <v>128</v>
      </c>
      <c r="M1" s="41" t="s">
        <v>129</v>
      </c>
      <c r="N1" s="41" t="s">
        <v>130</v>
      </c>
      <c r="O1" s="41" t="s">
        <v>0</v>
      </c>
    </row>
    <row r="2">
      <c r="A2" s="42">
        <v>39630.0</v>
      </c>
      <c r="B2" s="43">
        <v>7123.0</v>
      </c>
      <c r="C2" s="44">
        <f t="shared" ref="C2:C13" si="1">B2/D2</f>
        <v>0.4908487004</v>
      </c>
      <c r="D2" s="45">
        <v>14511.6</v>
      </c>
      <c r="E2" s="44">
        <f t="shared" ref="E2:E46" si="2">D2/J2</f>
        <v>0.87</v>
      </c>
      <c r="F2" s="43">
        <v>9456.0</v>
      </c>
      <c r="G2" s="44">
        <f t="shared" ref="G2:G46" si="3">F2/H2</f>
        <v>0.5669064748</v>
      </c>
      <c r="H2" s="45">
        <f>16680</f>
        <v>16680</v>
      </c>
      <c r="I2" s="44">
        <f t="shared" ref="I2:I46" si="4">H2/J2</f>
        <v>1</v>
      </c>
      <c r="J2" s="45">
        <f>16680</f>
        <v>16680</v>
      </c>
      <c r="K2" s="44">
        <f t="shared" ref="K2:K46" si="5">J2/J2</f>
        <v>1</v>
      </c>
      <c r="L2" s="43"/>
      <c r="M2" s="43"/>
      <c r="N2" s="45"/>
      <c r="O2" s="45"/>
    </row>
    <row r="3">
      <c r="A3" s="42">
        <v>39995.0</v>
      </c>
      <c r="B3" s="43">
        <v>7538.0</v>
      </c>
      <c r="C3" s="44">
        <f t="shared" si="1"/>
        <v>0.4345419957</v>
      </c>
      <c r="D3" s="45">
        <v>17347.0</v>
      </c>
      <c r="E3" s="44">
        <f t="shared" si="2"/>
        <v>0.95</v>
      </c>
      <c r="F3" s="43">
        <v>10608.0</v>
      </c>
      <c r="G3" s="44">
        <f t="shared" si="3"/>
        <v>0.5809419496</v>
      </c>
      <c r="H3" s="45">
        <f>18260</f>
        <v>18260</v>
      </c>
      <c r="I3" s="44">
        <f t="shared" si="4"/>
        <v>1</v>
      </c>
      <c r="J3" s="45">
        <f>18260</f>
        <v>18260</v>
      </c>
      <c r="K3" s="44">
        <f t="shared" si="5"/>
        <v>1</v>
      </c>
      <c r="L3" s="43"/>
      <c r="M3" s="43"/>
      <c r="N3" s="45"/>
      <c r="O3" s="45"/>
    </row>
    <row r="4">
      <c r="A4" s="42">
        <v>40360.0</v>
      </c>
      <c r="B4" s="43">
        <v>8449.13</v>
      </c>
      <c r="C4" s="44">
        <f t="shared" si="1"/>
        <v>0.4572423553</v>
      </c>
      <c r="D4" s="45">
        <v>18478.45</v>
      </c>
      <c r="E4" s="44">
        <f t="shared" si="2"/>
        <v>0.95</v>
      </c>
      <c r="F4" s="43">
        <v>11595.0</v>
      </c>
      <c r="G4" s="44">
        <f t="shared" si="3"/>
        <v>0.5961133104</v>
      </c>
      <c r="H4" s="45">
        <f>19451</f>
        <v>19451</v>
      </c>
      <c r="I4" s="44">
        <f t="shared" si="4"/>
        <v>1</v>
      </c>
      <c r="J4" s="45">
        <f>19451</f>
        <v>19451</v>
      </c>
      <c r="K4" s="44">
        <f t="shared" si="5"/>
        <v>1</v>
      </c>
      <c r="L4" s="43"/>
      <c r="M4" s="43"/>
      <c r="N4" s="45"/>
      <c r="O4" s="45"/>
    </row>
    <row r="5">
      <c r="A5" s="42">
        <v>41275.0</v>
      </c>
      <c r="B5" s="45">
        <v>8871.59</v>
      </c>
      <c r="C5" s="44">
        <f t="shared" si="1"/>
        <v>0.4572425946</v>
      </c>
      <c r="D5" s="45">
        <v>19402.37</v>
      </c>
      <c r="E5" s="44">
        <f t="shared" si="2"/>
        <v>0.9499998776</v>
      </c>
      <c r="F5" s="43">
        <v>12174.75</v>
      </c>
      <c r="G5" s="44">
        <f t="shared" si="3"/>
        <v>0.5961133104</v>
      </c>
      <c r="H5" s="45">
        <f>20423.55</f>
        <v>20423.55</v>
      </c>
      <c r="I5" s="44">
        <f t="shared" si="4"/>
        <v>1</v>
      </c>
      <c r="J5" s="45">
        <f>20423.55</f>
        <v>20423.55</v>
      </c>
      <c r="K5" s="44">
        <f t="shared" si="5"/>
        <v>1</v>
      </c>
      <c r="L5" s="43"/>
      <c r="M5" s="43"/>
      <c r="N5" s="45"/>
      <c r="O5" s="45"/>
    </row>
    <row r="6">
      <c r="A6" s="42">
        <v>41640.0</v>
      </c>
      <c r="B6" s="45">
        <v>9306.29</v>
      </c>
      <c r="C6" s="44">
        <f t="shared" si="1"/>
        <v>0.457242119</v>
      </c>
      <c r="D6" s="45">
        <v>20353.09</v>
      </c>
      <c r="E6" s="44">
        <f t="shared" si="2"/>
        <v>0.9500002334</v>
      </c>
      <c r="F6" s="43">
        <v>12759.14</v>
      </c>
      <c r="G6" s="44">
        <f t="shared" si="3"/>
        <v>0.596113415</v>
      </c>
      <c r="H6" s="45">
        <f>21403.88</f>
        <v>21403.88</v>
      </c>
      <c r="I6" s="44">
        <f t="shared" si="4"/>
        <v>0.9990468767</v>
      </c>
      <c r="J6" s="45">
        <f>21424.3</f>
        <v>21424.3</v>
      </c>
      <c r="K6" s="44">
        <f t="shared" si="5"/>
        <v>1</v>
      </c>
      <c r="L6" s="43"/>
      <c r="M6" s="43"/>
      <c r="N6" s="45"/>
      <c r="O6" s="45"/>
    </row>
    <row r="7">
      <c r="A7" s="42">
        <v>42005.0</v>
      </c>
      <c r="B7" s="45">
        <v>9780.92</v>
      </c>
      <c r="C7" s="44">
        <f t="shared" si="1"/>
        <v>0.457242498</v>
      </c>
      <c r="D7" s="45">
        <v>21391.1</v>
      </c>
      <c r="E7" s="44">
        <f t="shared" si="2"/>
        <v>0.9500003109</v>
      </c>
      <c r="F7" s="43">
        <v>13422.61</v>
      </c>
      <c r="G7" s="44">
        <f t="shared" si="3"/>
        <v>0.5961132271</v>
      </c>
      <c r="H7" s="45">
        <f>22516.88</f>
        <v>22516.88</v>
      </c>
      <c r="I7" s="44">
        <f t="shared" si="4"/>
        <v>0.9999973353</v>
      </c>
      <c r="J7" s="45">
        <f>22516.94</f>
        <v>22516.94</v>
      </c>
      <c r="K7" s="44">
        <f t="shared" si="5"/>
        <v>1</v>
      </c>
      <c r="L7" s="43"/>
      <c r="M7" s="43"/>
      <c r="N7" s="45"/>
      <c r="O7" s="45"/>
    </row>
    <row r="8">
      <c r="A8" s="42">
        <v>42583.0</v>
      </c>
      <c r="B8" s="45">
        <v>10318.87</v>
      </c>
      <c r="C8" s="44">
        <f t="shared" si="1"/>
        <v>0.4572424816</v>
      </c>
      <c r="D8" s="45">
        <v>22567.61</v>
      </c>
      <c r="E8" s="44">
        <f t="shared" si="2"/>
        <v>0.8434796454</v>
      </c>
      <c r="F8" s="45">
        <f>F7</f>
        <v>13422.61</v>
      </c>
      <c r="G8" s="44">
        <f t="shared" si="3"/>
        <v>0.5961132271</v>
      </c>
      <c r="H8" s="45">
        <f>H7</f>
        <v>22516.88</v>
      </c>
      <c r="I8" s="44">
        <f t="shared" si="4"/>
        <v>0.8415835774</v>
      </c>
      <c r="J8" s="45">
        <f>(23755.37+3000)</f>
        <v>26755.37</v>
      </c>
      <c r="K8" s="44">
        <f t="shared" si="5"/>
        <v>1</v>
      </c>
      <c r="L8" s="43"/>
      <c r="M8" s="43"/>
      <c r="N8" s="45"/>
      <c r="O8" s="45"/>
    </row>
    <row r="9">
      <c r="A9" s="42">
        <v>42614.0</v>
      </c>
      <c r="B9" s="45">
        <f t="shared" ref="B9:B10" si="6">B8</f>
        <v>10318.87</v>
      </c>
      <c r="C9" s="44">
        <f t="shared" si="1"/>
        <v>0.4572424816</v>
      </c>
      <c r="D9" s="45">
        <f t="shared" ref="D9:D10" si="7">D8</f>
        <v>22567.61</v>
      </c>
      <c r="E9" s="44">
        <f t="shared" si="2"/>
        <v>0.8434796454</v>
      </c>
      <c r="F9" s="43">
        <f>13422.61+1800</f>
        <v>15222.61</v>
      </c>
      <c r="G9" s="44">
        <f t="shared" si="3"/>
        <v>0.596570192</v>
      </c>
      <c r="H9" s="45">
        <f>(22516.88+3000)</f>
        <v>25516.88</v>
      </c>
      <c r="I9" s="44">
        <f t="shared" si="4"/>
        <v>0.9537106009</v>
      </c>
      <c r="J9" s="45">
        <f t="shared" ref="J9:J10" si="8">J8</f>
        <v>26755.37</v>
      </c>
      <c r="K9" s="44">
        <f t="shared" si="5"/>
        <v>1</v>
      </c>
      <c r="L9" s="43"/>
      <c r="M9" s="43"/>
      <c r="N9" s="45"/>
      <c r="O9" s="45"/>
    </row>
    <row r="10">
      <c r="A10" s="42">
        <v>42734.0</v>
      </c>
      <c r="B10" s="45">
        <f t="shared" si="6"/>
        <v>10318.87</v>
      </c>
      <c r="C10" s="44">
        <f t="shared" si="1"/>
        <v>0.4572424816</v>
      </c>
      <c r="D10" s="45">
        <f t="shared" si="7"/>
        <v>22567.61</v>
      </c>
      <c r="E10" s="44">
        <f t="shared" si="2"/>
        <v>0.8434796454</v>
      </c>
      <c r="F10" s="43">
        <f>14160.85+1800</f>
        <v>15960.85</v>
      </c>
      <c r="G10" s="44">
        <f t="shared" si="3"/>
        <v>0.596548872</v>
      </c>
      <c r="H10" s="45">
        <f>(23755.31+3000)</f>
        <v>26755.31</v>
      </c>
      <c r="I10" s="44">
        <f t="shared" si="4"/>
        <v>0.9999977575</v>
      </c>
      <c r="J10" s="45">
        <f t="shared" si="8"/>
        <v>26755.37</v>
      </c>
      <c r="K10" s="44">
        <f t="shared" si="5"/>
        <v>1</v>
      </c>
      <c r="L10" s="45"/>
      <c r="M10" s="45"/>
      <c r="N10" s="45"/>
      <c r="O10" s="45"/>
    </row>
    <row r="11">
      <c r="A11" s="42">
        <v>42736.0</v>
      </c>
      <c r="B11" s="45">
        <v>11039.05</v>
      </c>
      <c r="C11" s="44">
        <f t="shared" si="1"/>
        <v>0.4572424911</v>
      </c>
      <c r="D11" s="45">
        <v>24142.66</v>
      </c>
      <c r="E11" s="44">
        <f t="shared" si="2"/>
        <v>0.8439825153</v>
      </c>
      <c r="F11" s="43">
        <f>14868.9+1800</f>
        <v>16668.9</v>
      </c>
      <c r="G11" s="44">
        <f t="shared" si="3"/>
        <v>0.5965307319</v>
      </c>
      <c r="H11" s="45">
        <f>(24943.07+3000)</f>
        <v>27943.07</v>
      </c>
      <c r="I11" s="44">
        <f t="shared" si="4"/>
        <v>0.9768377844</v>
      </c>
      <c r="J11" s="45">
        <f>(24943.14+3662.5)</f>
        <v>28605.64</v>
      </c>
      <c r="K11" s="44">
        <f t="shared" si="5"/>
        <v>1</v>
      </c>
      <c r="L11" s="45"/>
      <c r="M11" s="45"/>
      <c r="N11" s="45"/>
      <c r="O11" s="45"/>
    </row>
    <row r="12">
      <c r="A12" s="42">
        <v>43101.0</v>
      </c>
      <c r="B12" s="45">
        <v>11771.99</v>
      </c>
      <c r="C12" s="44">
        <f t="shared" si="1"/>
        <v>0.4572426134</v>
      </c>
      <c r="D12" s="45">
        <v>25745.61</v>
      </c>
      <c r="E12" s="44">
        <f t="shared" si="2"/>
        <v>0.790229138</v>
      </c>
      <c r="F12" s="43">
        <f>15575.17+1800</f>
        <v>17375.17</v>
      </c>
      <c r="G12" s="44">
        <f t="shared" si="3"/>
        <v>0.5965135796</v>
      </c>
      <c r="H12" s="45">
        <f>(26127.87+3000)</f>
        <v>29127.87</v>
      </c>
      <c r="I12" s="44">
        <f t="shared" si="4"/>
        <v>0.8940433574</v>
      </c>
      <c r="J12" s="45">
        <f>(26127.94+6451.99)</f>
        <v>32579.93</v>
      </c>
      <c r="K12" s="44">
        <f t="shared" si="5"/>
        <v>1</v>
      </c>
      <c r="L12" s="45"/>
      <c r="M12" s="45"/>
      <c r="N12" s="45"/>
      <c r="O12" s="45"/>
    </row>
    <row r="13">
      <c r="A13" s="42">
        <v>43466.0</v>
      </c>
      <c r="B13" s="45">
        <v>12514.58</v>
      </c>
      <c r="C13" s="44">
        <f t="shared" si="1"/>
        <v>0.4572426339</v>
      </c>
      <c r="D13" s="45">
        <v>27369.67</v>
      </c>
      <c r="E13" s="44">
        <f t="shared" si="2"/>
        <v>0.7928629883</v>
      </c>
      <c r="F13" s="43">
        <f>16276.05+1800</f>
        <v>18076.05</v>
      </c>
      <c r="G13" s="44">
        <f t="shared" si="3"/>
        <v>0.5964980421</v>
      </c>
      <c r="H13" s="45">
        <f>(27303.62+3000)</f>
        <v>30303.62</v>
      </c>
      <c r="I13" s="44">
        <f t="shared" si="4"/>
        <v>0.877855623</v>
      </c>
      <c r="J13" s="45">
        <f>(27303.7+7216.35)</f>
        <v>34520.05</v>
      </c>
      <c r="K13" s="44">
        <f t="shared" si="5"/>
        <v>1</v>
      </c>
      <c r="L13" s="45"/>
      <c r="M13" s="45"/>
      <c r="N13" s="45"/>
      <c r="O13" s="45"/>
    </row>
    <row r="14">
      <c r="A14" s="42">
        <v>43831.0</v>
      </c>
      <c r="B14" s="45">
        <f t="shared" ref="B14:B18" si="9">B13</f>
        <v>12514.58</v>
      </c>
      <c r="C14" s="44">
        <f>B18/D14</f>
        <v>0.4572426339</v>
      </c>
      <c r="D14" s="45">
        <f t="shared" ref="D14:D18" si="10">D13</f>
        <v>27369.67</v>
      </c>
      <c r="E14" s="44">
        <f t="shared" si="2"/>
        <v>0.7785715302</v>
      </c>
      <c r="F14" s="45">
        <f t="shared" ref="F14:F18" si="11">F13</f>
        <v>18076.05</v>
      </c>
      <c r="G14" s="44">
        <f t="shared" si="3"/>
        <v>0.5964980421</v>
      </c>
      <c r="H14" s="45">
        <f t="shared" ref="H14:H18" si="12">H13</f>
        <v>30303.62</v>
      </c>
      <c r="I14" s="44">
        <f t="shared" si="4"/>
        <v>0.8620321616</v>
      </c>
      <c r="J14" s="45">
        <f>(27303.7+7850)</f>
        <v>35153.7</v>
      </c>
      <c r="K14" s="44">
        <f t="shared" si="5"/>
        <v>1</v>
      </c>
      <c r="L14" s="45"/>
      <c r="M14" s="45"/>
      <c r="N14" s="45"/>
      <c r="O14" s="45"/>
    </row>
    <row r="15">
      <c r="A15" s="42">
        <v>44197.0</v>
      </c>
      <c r="B15" s="45">
        <f t="shared" si="9"/>
        <v>12514.58</v>
      </c>
      <c r="C15" s="44">
        <f t="shared" ref="C15:C46" si="13">B15/D15</f>
        <v>0.4572426339</v>
      </c>
      <c r="D15" s="45">
        <f t="shared" si="10"/>
        <v>27369.67</v>
      </c>
      <c r="E15" s="44">
        <f t="shared" si="2"/>
        <v>0.7417676887</v>
      </c>
      <c r="F15" s="45">
        <f t="shared" si="11"/>
        <v>18076.05</v>
      </c>
      <c r="G15" s="44">
        <f t="shared" si="3"/>
        <v>0.5964980421</v>
      </c>
      <c r="H15" s="45">
        <f t="shared" si="12"/>
        <v>30303.62</v>
      </c>
      <c r="I15" s="44">
        <f t="shared" si="4"/>
        <v>0.821283054</v>
      </c>
      <c r="J15" s="45">
        <f>(27303.7+9594.2)</f>
        <v>36897.9</v>
      </c>
      <c r="K15" s="44">
        <f t="shared" si="5"/>
        <v>1</v>
      </c>
      <c r="L15" s="45"/>
      <c r="M15" s="45"/>
      <c r="N15" s="45"/>
      <c r="O15" s="45"/>
    </row>
    <row r="16">
      <c r="A16" s="42">
        <v>44562.0</v>
      </c>
      <c r="B16" s="45">
        <f t="shared" si="9"/>
        <v>12514.58</v>
      </c>
      <c r="C16" s="44">
        <f t="shared" si="13"/>
        <v>0.4572426339</v>
      </c>
      <c r="D16" s="45">
        <f t="shared" si="10"/>
        <v>27369.67</v>
      </c>
      <c r="E16" s="44">
        <f t="shared" si="2"/>
        <v>0.6994493527</v>
      </c>
      <c r="F16" s="45">
        <f t="shared" si="11"/>
        <v>18076.05</v>
      </c>
      <c r="G16" s="44">
        <f t="shared" si="3"/>
        <v>0.5964980421</v>
      </c>
      <c r="H16" s="45">
        <f t="shared" si="12"/>
        <v>30303.62</v>
      </c>
      <c r="I16" s="44">
        <f t="shared" si="4"/>
        <v>0.774428314</v>
      </c>
      <c r="J16" s="45">
        <f>(27303.7+11826.61)</f>
        <v>39130.31</v>
      </c>
      <c r="K16" s="44">
        <f t="shared" si="5"/>
        <v>1</v>
      </c>
      <c r="L16" s="45"/>
      <c r="M16" s="45"/>
      <c r="N16" s="45"/>
      <c r="O16" s="45"/>
    </row>
    <row r="17">
      <c r="A17" s="42">
        <v>44958.0</v>
      </c>
      <c r="B17" s="45">
        <f t="shared" si="9"/>
        <v>12514.58</v>
      </c>
      <c r="C17" s="44">
        <f t="shared" si="13"/>
        <v>0.4572426339</v>
      </c>
      <c r="D17" s="45">
        <f t="shared" si="10"/>
        <v>27369.67</v>
      </c>
      <c r="E17" s="44">
        <f t="shared" si="2"/>
        <v>0.6965476575</v>
      </c>
      <c r="F17" s="45">
        <f t="shared" si="11"/>
        <v>18076.05</v>
      </c>
      <c r="G17" s="44">
        <f t="shared" si="3"/>
        <v>0.5964980421</v>
      </c>
      <c r="H17" s="45">
        <f t="shared" si="12"/>
        <v>30303.62</v>
      </c>
      <c r="I17" s="44">
        <f t="shared" si="4"/>
        <v>0.7712155654</v>
      </c>
      <c r="J17" s="45">
        <f>(27303.7+(11991.46-1.84))</f>
        <v>39293.32</v>
      </c>
      <c r="K17" s="44">
        <f t="shared" si="5"/>
        <v>1</v>
      </c>
      <c r="L17" s="45"/>
      <c r="M17" s="45"/>
      <c r="N17" s="45"/>
      <c r="O17" s="45"/>
    </row>
    <row r="18">
      <c r="A18" s="42">
        <v>45017.0</v>
      </c>
      <c r="B18" s="45">
        <f t="shared" si="9"/>
        <v>12514.58</v>
      </c>
      <c r="C18" s="44">
        <f t="shared" si="13"/>
        <v>0.4572426339</v>
      </c>
      <c r="D18" s="45">
        <f t="shared" si="10"/>
        <v>27369.67</v>
      </c>
      <c r="E18" s="44">
        <f t="shared" si="2"/>
        <v>0.6610627418</v>
      </c>
      <c r="F18" s="45">
        <f t="shared" si="11"/>
        <v>18076.05</v>
      </c>
      <c r="G18" s="44">
        <f t="shared" si="3"/>
        <v>0.5964980421</v>
      </c>
      <c r="H18" s="45">
        <f t="shared" si="12"/>
        <v>30303.62</v>
      </c>
      <c r="I18" s="44">
        <f t="shared" si="4"/>
        <v>0.7319267687</v>
      </c>
      <c r="J18" s="45">
        <f>(27303.7+14098.83)</f>
        <v>41402.53</v>
      </c>
      <c r="K18" s="44">
        <f t="shared" si="5"/>
        <v>1</v>
      </c>
      <c r="L18" s="45"/>
      <c r="M18" s="45"/>
      <c r="N18" s="45"/>
      <c r="O18" s="45"/>
    </row>
    <row r="19">
      <c r="A19" s="42">
        <v>45047.0</v>
      </c>
      <c r="B19" s="45">
        <f>12514.58*1.09</f>
        <v>13640.8922</v>
      </c>
      <c r="C19" s="44">
        <f t="shared" si="13"/>
        <v>0.4572426339</v>
      </c>
      <c r="D19" s="45">
        <f>27369.67*1.09</f>
        <v>29832.9403</v>
      </c>
      <c r="E19" s="44">
        <f t="shared" si="2"/>
        <v>0.7162612051</v>
      </c>
      <c r="F19" s="45">
        <f t="shared" ref="F19:F46" si="14">L19*59.611%+M19*60%</f>
        <v>19540.82375</v>
      </c>
      <c r="G19" s="44">
        <f t="shared" si="3"/>
        <v>0.5964662163</v>
      </c>
      <c r="H19" s="45">
        <f t="shared" ref="H19:H46" si="15">L19+M19</f>
        <v>32760.99</v>
      </c>
      <c r="I19" s="44">
        <f t="shared" si="4"/>
        <v>0.7865609605</v>
      </c>
      <c r="J19" s="45">
        <f t="shared" ref="J19:J46" si="16">L19+N19</f>
        <v>41650.923</v>
      </c>
      <c r="K19" s="44">
        <f t="shared" si="5"/>
        <v>1</v>
      </c>
      <c r="L19" s="45">
        <f>(29760.95+29761.03)/2</f>
        <v>29760.99</v>
      </c>
      <c r="M19" s="43">
        <v>3000.0</v>
      </c>
      <c r="N19" s="45">
        <f t="shared" ref="N19:N46" si="17">O19-L19</f>
        <v>11889.933</v>
      </c>
      <c r="O19" s="45">
        <v>41650.923</v>
      </c>
    </row>
    <row r="20">
      <c r="A20" s="42">
        <v>45323.0</v>
      </c>
      <c r="B20" s="45">
        <f>13640.89</f>
        <v>13640.89</v>
      </c>
      <c r="C20" s="44">
        <f t="shared" si="13"/>
        <v>0.4572425648</v>
      </c>
      <c r="D20" s="45">
        <v>29832.94</v>
      </c>
      <c r="E20" s="44">
        <f t="shared" si="2"/>
        <v>0.6778900995</v>
      </c>
      <c r="F20" s="45">
        <f t="shared" si="14"/>
        <v>20440.82375</v>
      </c>
      <c r="G20" s="44">
        <f t="shared" si="3"/>
        <v>0.5966209309</v>
      </c>
      <c r="H20" s="45">
        <f t="shared" si="15"/>
        <v>34260.99</v>
      </c>
      <c r="I20" s="44">
        <f t="shared" si="4"/>
        <v>0.7785081162</v>
      </c>
      <c r="J20" s="45">
        <f t="shared" si="16"/>
        <v>44008.52</v>
      </c>
      <c r="K20" s="44">
        <f t="shared" si="5"/>
        <v>1</v>
      </c>
      <c r="L20" s="43">
        <f t="shared" ref="L20:L26" si="18">L19</f>
        <v>29760.99</v>
      </c>
      <c r="M20" s="43">
        <v>4500.0</v>
      </c>
      <c r="N20" s="45">
        <f t="shared" si="17"/>
        <v>14247.53</v>
      </c>
      <c r="O20" s="45">
        <v>44008.52</v>
      </c>
    </row>
    <row r="21">
      <c r="A21" s="42">
        <v>45505.0</v>
      </c>
      <c r="B21" s="45">
        <f>B20</f>
        <v>13640.89</v>
      </c>
      <c r="C21" s="44">
        <f t="shared" si="13"/>
        <v>0.4572425648</v>
      </c>
      <c r="D21" s="45">
        <f>D20</f>
        <v>29832.94</v>
      </c>
      <c r="E21" s="44">
        <f t="shared" si="2"/>
        <v>0.6778900995</v>
      </c>
      <c r="F21" s="45">
        <f t="shared" si="14"/>
        <v>20740.82375</v>
      </c>
      <c r="G21" s="44">
        <f t="shared" si="3"/>
        <v>0.5966695353</v>
      </c>
      <c r="H21" s="45">
        <f t="shared" si="15"/>
        <v>34760.99</v>
      </c>
      <c r="I21" s="44">
        <f t="shared" si="4"/>
        <v>0.7898695525</v>
      </c>
      <c r="J21" s="45">
        <f t="shared" si="16"/>
        <v>44008.52</v>
      </c>
      <c r="K21" s="44">
        <f t="shared" si="5"/>
        <v>1</v>
      </c>
      <c r="L21" s="43">
        <f t="shared" si="18"/>
        <v>29760.99</v>
      </c>
      <c r="M21" s="43">
        <v>5000.0</v>
      </c>
      <c r="N21" s="45">
        <f t="shared" si="17"/>
        <v>14247.53</v>
      </c>
      <c r="O21" s="45">
        <v>44008.52</v>
      </c>
    </row>
    <row r="22">
      <c r="A22" s="46">
        <v>45658.0</v>
      </c>
      <c r="B22" s="43">
        <v>15189.85</v>
      </c>
      <c r="C22" s="44">
        <f t="shared" si="13"/>
        <v>0.4591006495</v>
      </c>
      <c r="D22" s="43">
        <v>33086.1</v>
      </c>
      <c r="E22" s="44">
        <f t="shared" si="2"/>
        <v>0.7518112402</v>
      </c>
      <c r="F22" s="45">
        <f t="shared" si="14"/>
        <v>20740.82375</v>
      </c>
      <c r="G22" s="44">
        <f t="shared" si="3"/>
        <v>0.5966695353</v>
      </c>
      <c r="H22" s="45">
        <f t="shared" si="15"/>
        <v>34760.99</v>
      </c>
      <c r="I22" s="44">
        <f t="shared" si="4"/>
        <v>0.7898695525</v>
      </c>
      <c r="J22" s="45">
        <f t="shared" si="16"/>
        <v>44008.52</v>
      </c>
      <c r="K22" s="44">
        <f t="shared" si="5"/>
        <v>1</v>
      </c>
      <c r="L22" s="45">
        <f t="shared" si="18"/>
        <v>29760.99</v>
      </c>
      <c r="M22" s="45">
        <f>M21</f>
        <v>5000</v>
      </c>
      <c r="N22" s="45">
        <f t="shared" si="17"/>
        <v>14247.53</v>
      </c>
      <c r="O22" s="45">
        <v>44008.52</v>
      </c>
    </row>
    <row r="23">
      <c r="A23" s="46">
        <v>45689.0</v>
      </c>
      <c r="B23" s="45">
        <f t="shared" ref="B23:B24" si="19">B22</f>
        <v>15189.85</v>
      </c>
      <c r="C23" s="44">
        <f t="shared" si="13"/>
        <v>0.4591006495</v>
      </c>
      <c r="D23" s="45">
        <f t="shared" ref="D23:D24" si="20">D22</f>
        <v>33086.1</v>
      </c>
      <c r="E23" s="44">
        <f t="shared" si="2"/>
        <v>0.7135824617</v>
      </c>
      <c r="F23" s="45">
        <f t="shared" si="14"/>
        <v>21940.82375</v>
      </c>
      <c r="G23" s="44">
        <f t="shared" si="3"/>
        <v>0.5968507309</v>
      </c>
      <c r="H23" s="45">
        <f t="shared" si="15"/>
        <v>36760.99</v>
      </c>
      <c r="I23" s="44">
        <f t="shared" si="4"/>
        <v>0.7928404296</v>
      </c>
      <c r="J23" s="45">
        <f t="shared" si="16"/>
        <v>46366.19</v>
      </c>
      <c r="K23" s="44">
        <f t="shared" si="5"/>
        <v>1</v>
      </c>
      <c r="L23" s="45">
        <f t="shared" si="18"/>
        <v>29760.99</v>
      </c>
      <c r="M23" s="43">
        <v>7000.0</v>
      </c>
      <c r="N23" s="45">
        <f t="shared" si="17"/>
        <v>16605.2</v>
      </c>
      <c r="O23" s="45">
        <v>46366.19</v>
      </c>
    </row>
    <row r="24">
      <c r="A24" s="42">
        <v>46054.0</v>
      </c>
      <c r="B24" s="43">
        <f t="shared" si="19"/>
        <v>15189.85</v>
      </c>
      <c r="C24" s="44">
        <f t="shared" si="13"/>
        <v>0.4591006495</v>
      </c>
      <c r="D24" s="45">
        <f t="shared" si="20"/>
        <v>33086.1</v>
      </c>
      <c r="E24" s="44">
        <f t="shared" si="2"/>
        <v>0.7135824617</v>
      </c>
      <c r="F24" s="45">
        <f t="shared" si="14"/>
        <v>24640.82375</v>
      </c>
      <c r="G24" s="44">
        <f t="shared" si="3"/>
        <v>0.597194196</v>
      </c>
      <c r="H24" s="45">
        <f t="shared" si="15"/>
        <v>41260.99</v>
      </c>
      <c r="I24" s="44">
        <f t="shared" si="4"/>
        <v>0.8898939076</v>
      </c>
      <c r="J24" s="45">
        <f t="shared" si="16"/>
        <v>46366.19</v>
      </c>
      <c r="K24" s="44">
        <f t="shared" si="5"/>
        <v>1</v>
      </c>
      <c r="L24" s="45">
        <f t="shared" si="18"/>
        <v>29760.99</v>
      </c>
      <c r="M24" s="43">
        <v>11500.0</v>
      </c>
      <c r="N24" s="45">
        <f t="shared" si="17"/>
        <v>16605.2</v>
      </c>
      <c r="O24" s="45">
        <v>46366.19</v>
      </c>
    </row>
    <row r="25">
      <c r="A25" s="46">
        <v>46113.0</v>
      </c>
      <c r="B25" s="43">
        <v>16914.7</v>
      </c>
      <c r="C25" s="44">
        <f t="shared" si="13"/>
        <v>0.4609663705</v>
      </c>
      <c r="D25" s="43">
        <v>36694.0</v>
      </c>
      <c r="E25" s="44">
        <f t="shared" si="2"/>
        <v>0.7913956269</v>
      </c>
      <c r="F25" s="45">
        <f t="shared" si="14"/>
        <v>24640.82375</v>
      </c>
      <c r="G25" s="44">
        <f t="shared" si="3"/>
        <v>0.597194196</v>
      </c>
      <c r="H25" s="45">
        <f t="shared" si="15"/>
        <v>41260.99</v>
      </c>
      <c r="I25" s="44">
        <f t="shared" si="4"/>
        <v>0.8898939076</v>
      </c>
      <c r="J25" s="45">
        <f t="shared" si="16"/>
        <v>46366.19</v>
      </c>
      <c r="K25" s="44">
        <f t="shared" si="5"/>
        <v>1</v>
      </c>
      <c r="L25" s="45">
        <f t="shared" si="18"/>
        <v>29760.99</v>
      </c>
      <c r="M25" s="45">
        <f>M24</f>
        <v>11500</v>
      </c>
      <c r="N25" s="45">
        <f t="shared" si="17"/>
        <v>16605.2</v>
      </c>
      <c r="O25" s="45">
        <v>46366.19</v>
      </c>
    </row>
    <row r="26">
      <c r="A26" s="42">
        <v>46419.0</v>
      </c>
      <c r="B26" s="45">
        <f>B25</f>
        <v>16914.7</v>
      </c>
      <c r="C26" s="44">
        <f t="shared" si="13"/>
        <v>0.4609663705</v>
      </c>
      <c r="D26" s="45">
        <f>D25</f>
        <v>36694</v>
      </c>
      <c r="E26" s="44">
        <f t="shared" si="2"/>
        <v>0.7646334559</v>
      </c>
      <c r="F26" s="45">
        <f t="shared" si="14"/>
        <v>24882.32375</v>
      </c>
      <c r="G26" s="44">
        <f t="shared" si="3"/>
        <v>0.5972213021</v>
      </c>
      <c r="H26" s="45">
        <f t="shared" si="15"/>
        <v>41663.49</v>
      </c>
      <c r="I26" s="44">
        <f t="shared" si="4"/>
        <v>0.8681882145</v>
      </c>
      <c r="J26" s="45">
        <f t="shared" si="16"/>
        <v>47989.00665</v>
      </c>
      <c r="K26" s="44">
        <f t="shared" si="5"/>
        <v>1</v>
      </c>
      <c r="L26" s="45">
        <f t="shared" si="18"/>
        <v>29760.99</v>
      </c>
      <c r="M26" s="45">
        <f t="shared" ref="M26:M46" si="21">M25*1.035</f>
        <v>11902.5</v>
      </c>
      <c r="N26" s="45">
        <f t="shared" si="17"/>
        <v>18228.01665</v>
      </c>
      <c r="O26" s="45">
        <f t="shared" ref="O26:O46" si="22">O25*1.035</f>
        <v>47989.00665</v>
      </c>
    </row>
    <row r="27">
      <c r="A27" s="46">
        <v>46784.0</v>
      </c>
      <c r="B27" s="45">
        <f t="shared" ref="B27:B28" si="23">B26*(1.035^2)</f>
        <v>18119.44951</v>
      </c>
      <c r="C27" s="44">
        <f t="shared" si="13"/>
        <v>0.4609663705</v>
      </c>
      <c r="D27" s="45">
        <f t="shared" ref="D27:D28" si="24">D26*(1.035^2)</f>
        <v>39307.53015</v>
      </c>
      <c r="E27" s="44">
        <f t="shared" si="2"/>
        <v>0.7913956269</v>
      </c>
      <c r="F27" s="45">
        <f t="shared" si="14"/>
        <v>26395.86642</v>
      </c>
      <c r="G27" s="44">
        <f t="shared" si="3"/>
        <v>0.597194196</v>
      </c>
      <c r="H27" s="45">
        <f t="shared" si="15"/>
        <v>44199.80401</v>
      </c>
      <c r="I27" s="44">
        <f t="shared" si="4"/>
        <v>0.8898939076</v>
      </c>
      <c r="J27" s="45">
        <f t="shared" si="16"/>
        <v>49668.62188</v>
      </c>
      <c r="K27" s="44">
        <f t="shared" si="5"/>
        <v>1</v>
      </c>
      <c r="L27" s="45">
        <f t="shared" ref="L27:L28" si="25">L26*(1.035^2)</f>
        <v>31880.71651</v>
      </c>
      <c r="M27" s="45">
        <f t="shared" si="21"/>
        <v>12319.0875</v>
      </c>
      <c r="N27" s="45">
        <f t="shared" si="17"/>
        <v>17787.90537</v>
      </c>
      <c r="O27" s="45">
        <f t="shared" si="22"/>
        <v>49668.62188</v>
      </c>
    </row>
    <row r="28">
      <c r="A28" s="42">
        <v>47150.0</v>
      </c>
      <c r="B28" s="45">
        <f t="shared" si="23"/>
        <v>19410.0073</v>
      </c>
      <c r="C28" s="44">
        <f t="shared" si="13"/>
        <v>0.4609663705</v>
      </c>
      <c r="D28" s="45">
        <f t="shared" si="24"/>
        <v>42107.20898</v>
      </c>
      <c r="E28" s="44">
        <f t="shared" si="2"/>
        <v>0.8190944738</v>
      </c>
      <c r="F28" s="45">
        <f t="shared" si="14"/>
        <v>28008.15664</v>
      </c>
      <c r="G28" s="44">
        <f t="shared" si="3"/>
        <v>0.5971674994</v>
      </c>
      <c r="H28" s="45">
        <f t="shared" si="15"/>
        <v>46901.67611</v>
      </c>
      <c r="I28" s="44">
        <f t="shared" si="4"/>
        <v>0.9123593</v>
      </c>
      <c r="J28" s="45">
        <f t="shared" si="16"/>
        <v>51407.02365</v>
      </c>
      <c r="K28" s="44">
        <f t="shared" si="5"/>
        <v>1</v>
      </c>
      <c r="L28" s="45">
        <f t="shared" si="25"/>
        <v>34151.42055</v>
      </c>
      <c r="M28" s="45">
        <f t="shared" si="21"/>
        <v>12750.25556</v>
      </c>
      <c r="N28" s="45">
        <f t="shared" si="17"/>
        <v>17255.6031</v>
      </c>
      <c r="O28" s="45">
        <f t="shared" si="22"/>
        <v>51407.02365</v>
      </c>
    </row>
    <row r="29">
      <c r="A29" s="46">
        <v>47515.0</v>
      </c>
      <c r="B29" s="45">
        <f t="shared" ref="B29:B30" si="26">B28</f>
        <v>19410.0073</v>
      </c>
      <c r="C29" s="44">
        <f t="shared" si="13"/>
        <v>0.4609663705</v>
      </c>
      <c r="D29" s="45">
        <f t="shared" ref="D29:D30" si="27">D28</f>
        <v>42107.20898</v>
      </c>
      <c r="E29" s="44">
        <f t="shared" si="2"/>
        <v>0.7913956269</v>
      </c>
      <c r="F29" s="45">
        <f t="shared" si="14"/>
        <v>28275.91201</v>
      </c>
      <c r="G29" s="44">
        <f t="shared" si="3"/>
        <v>0.597194196</v>
      </c>
      <c r="H29" s="45">
        <f t="shared" si="15"/>
        <v>47347.93505</v>
      </c>
      <c r="I29" s="44">
        <f t="shared" si="4"/>
        <v>0.8898939076</v>
      </c>
      <c r="J29" s="45">
        <f t="shared" si="16"/>
        <v>53206.26948</v>
      </c>
      <c r="K29" s="44">
        <f t="shared" si="5"/>
        <v>1</v>
      </c>
      <c r="L29" s="45">
        <f t="shared" ref="L29:L30" si="28">L28</f>
        <v>34151.42055</v>
      </c>
      <c r="M29" s="45">
        <f t="shared" si="21"/>
        <v>13196.51451</v>
      </c>
      <c r="N29" s="45">
        <f t="shared" si="17"/>
        <v>19054.84893</v>
      </c>
      <c r="O29" s="45">
        <f t="shared" si="22"/>
        <v>53206.26948</v>
      </c>
    </row>
    <row r="30">
      <c r="A30" s="42">
        <v>47880.0</v>
      </c>
      <c r="B30" s="45">
        <f t="shared" si="26"/>
        <v>19410.0073</v>
      </c>
      <c r="C30" s="44">
        <f t="shared" si="13"/>
        <v>0.4609663705</v>
      </c>
      <c r="D30" s="45">
        <f t="shared" si="27"/>
        <v>42107.20898</v>
      </c>
      <c r="E30" s="44">
        <f t="shared" si="2"/>
        <v>0.7646334559</v>
      </c>
      <c r="F30" s="45">
        <f t="shared" si="14"/>
        <v>28553.03881</v>
      </c>
      <c r="G30" s="44">
        <f t="shared" si="3"/>
        <v>0.5972213021</v>
      </c>
      <c r="H30" s="45">
        <f t="shared" si="15"/>
        <v>47809.81306</v>
      </c>
      <c r="I30" s="44">
        <f t="shared" si="4"/>
        <v>0.8681882145</v>
      </c>
      <c r="J30" s="45">
        <f t="shared" si="16"/>
        <v>55068.48891</v>
      </c>
      <c r="K30" s="44">
        <f t="shared" si="5"/>
        <v>1</v>
      </c>
      <c r="L30" s="45">
        <f t="shared" si="28"/>
        <v>34151.42055</v>
      </c>
      <c r="M30" s="45">
        <f t="shared" si="21"/>
        <v>13658.39251</v>
      </c>
      <c r="N30" s="45">
        <f t="shared" si="17"/>
        <v>20917.06836</v>
      </c>
      <c r="O30" s="45">
        <f t="shared" si="22"/>
        <v>55068.48891</v>
      </c>
    </row>
    <row r="31">
      <c r="A31" s="46">
        <v>48245.0</v>
      </c>
      <c r="B31" s="45">
        <f t="shared" ref="B31:B32" si="29">B30*(1.035^2)</f>
        <v>20792.48507</v>
      </c>
      <c r="C31" s="44">
        <f t="shared" si="13"/>
        <v>0.4609663705</v>
      </c>
      <c r="D31" s="45">
        <f t="shared" ref="D31:D32" si="30">D30*(1.035^2)</f>
        <v>45106.29494</v>
      </c>
      <c r="E31" s="44">
        <f t="shared" si="2"/>
        <v>0.7913956269</v>
      </c>
      <c r="F31" s="45">
        <f t="shared" si="14"/>
        <v>30289.86384</v>
      </c>
      <c r="G31" s="44">
        <f t="shared" si="3"/>
        <v>0.597194196</v>
      </c>
      <c r="H31" s="45">
        <f t="shared" si="15"/>
        <v>50720.29173</v>
      </c>
      <c r="I31" s="44">
        <f t="shared" si="4"/>
        <v>0.8898939076</v>
      </c>
      <c r="J31" s="45">
        <f t="shared" si="16"/>
        <v>56995.88602</v>
      </c>
      <c r="K31" s="44">
        <f t="shared" si="5"/>
        <v>1</v>
      </c>
      <c r="L31" s="45">
        <f t="shared" ref="L31:L32" si="31">L30*(1.035^2)</f>
        <v>36583.85547</v>
      </c>
      <c r="M31" s="45">
        <f t="shared" si="21"/>
        <v>14136.43625</v>
      </c>
      <c r="N31" s="45">
        <f t="shared" si="17"/>
        <v>20412.03055</v>
      </c>
      <c r="O31" s="45">
        <f t="shared" si="22"/>
        <v>56995.88602</v>
      </c>
    </row>
    <row r="32">
      <c r="A32" s="42">
        <v>48611.0</v>
      </c>
      <c r="B32" s="45">
        <f t="shared" si="29"/>
        <v>22273.42982</v>
      </c>
      <c r="C32" s="44">
        <f t="shared" si="13"/>
        <v>0.4609663705</v>
      </c>
      <c r="D32" s="45">
        <f t="shared" si="30"/>
        <v>48318.9908</v>
      </c>
      <c r="E32" s="44">
        <f t="shared" si="2"/>
        <v>0.8190944738</v>
      </c>
      <c r="F32" s="45">
        <f t="shared" si="14"/>
        <v>32140.00395</v>
      </c>
      <c r="G32" s="44">
        <f t="shared" si="3"/>
        <v>0.5971674994</v>
      </c>
      <c r="H32" s="45">
        <f t="shared" si="15"/>
        <v>53820.7521</v>
      </c>
      <c r="I32" s="44">
        <f t="shared" si="4"/>
        <v>0.9123593</v>
      </c>
      <c r="J32" s="45">
        <f t="shared" si="16"/>
        <v>58990.74203</v>
      </c>
      <c r="K32" s="44">
        <f t="shared" si="5"/>
        <v>1</v>
      </c>
      <c r="L32" s="45">
        <f t="shared" si="31"/>
        <v>39189.54058</v>
      </c>
      <c r="M32" s="45">
        <f t="shared" si="21"/>
        <v>14631.21152</v>
      </c>
      <c r="N32" s="45">
        <f t="shared" si="17"/>
        <v>19801.20145</v>
      </c>
      <c r="O32" s="45">
        <f t="shared" si="22"/>
        <v>58990.74203</v>
      </c>
    </row>
    <row r="33">
      <c r="A33" s="46">
        <v>48976.0</v>
      </c>
      <c r="B33" s="45">
        <f t="shared" ref="B33:B34" si="32">B32</f>
        <v>22273.42982</v>
      </c>
      <c r="C33" s="44">
        <f t="shared" si="13"/>
        <v>0.4609663705</v>
      </c>
      <c r="D33" s="45">
        <f t="shared" ref="D33:D34" si="33">D32</f>
        <v>48318.9908</v>
      </c>
      <c r="E33" s="44">
        <f t="shared" si="2"/>
        <v>0.7913956269</v>
      </c>
      <c r="F33" s="45">
        <f t="shared" si="14"/>
        <v>32447.25939</v>
      </c>
      <c r="G33" s="44">
        <f t="shared" si="3"/>
        <v>0.597194196</v>
      </c>
      <c r="H33" s="45">
        <f t="shared" si="15"/>
        <v>54332.84451</v>
      </c>
      <c r="I33" s="44">
        <f t="shared" si="4"/>
        <v>0.8898939076</v>
      </c>
      <c r="J33" s="45">
        <f t="shared" si="16"/>
        <v>61055.418</v>
      </c>
      <c r="K33" s="44">
        <f t="shared" si="5"/>
        <v>1</v>
      </c>
      <c r="L33" s="45">
        <f t="shared" ref="L33:L34" si="34">L32</f>
        <v>39189.54058</v>
      </c>
      <c r="M33" s="45">
        <f t="shared" si="21"/>
        <v>15143.30393</v>
      </c>
      <c r="N33" s="45">
        <f t="shared" si="17"/>
        <v>21865.87742</v>
      </c>
      <c r="O33" s="45">
        <f t="shared" si="22"/>
        <v>61055.418</v>
      </c>
    </row>
    <row r="34">
      <c r="A34" s="42">
        <v>49341.0</v>
      </c>
      <c r="B34" s="45">
        <f t="shared" si="32"/>
        <v>22273.42982</v>
      </c>
      <c r="C34" s="44">
        <f t="shared" si="13"/>
        <v>0.4609663705</v>
      </c>
      <c r="D34" s="45">
        <f t="shared" si="33"/>
        <v>48318.9908</v>
      </c>
      <c r="E34" s="44">
        <f t="shared" si="2"/>
        <v>0.7646334559</v>
      </c>
      <c r="F34" s="45">
        <f t="shared" si="14"/>
        <v>32765.26877</v>
      </c>
      <c r="G34" s="44">
        <f t="shared" si="3"/>
        <v>0.5972213021</v>
      </c>
      <c r="H34" s="45">
        <f t="shared" si="15"/>
        <v>54862.86014</v>
      </c>
      <c r="I34" s="44">
        <f t="shared" si="4"/>
        <v>0.8681882145</v>
      </c>
      <c r="J34" s="45">
        <f t="shared" si="16"/>
        <v>63192.35763</v>
      </c>
      <c r="K34" s="44">
        <f t="shared" si="5"/>
        <v>1</v>
      </c>
      <c r="L34" s="45">
        <f t="shared" si="34"/>
        <v>39189.54058</v>
      </c>
      <c r="M34" s="45">
        <f t="shared" si="21"/>
        <v>15673.31956</v>
      </c>
      <c r="N34" s="45">
        <f t="shared" si="17"/>
        <v>24002.81705</v>
      </c>
      <c r="O34" s="45">
        <f t="shared" si="22"/>
        <v>63192.35763</v>
      </c>
    </row>
    <row r="35">
      <c r="A35" s="46">
        <v>49706.0</v>
      </c>
      <c r="B35" s="45">
        <f t="shared" ref="B35:B36" si="35">B34*(1.035^2)</f>
        <v>23859.85486</v>
      </c>
      <c r="C35" s="44">
        <f t="shared" si="13"/>
        <v>0.4609663705</v>
      </c>
      <c r="D35" s="45">
        <f t="shared" ref="D35:D36" si="36">D34*(1.035^2)</f>
        <v>51760.51092</v>
      </c>
      <c r="E35" s="44">
        <f t="shared" si="2"/>
        <v>0.7913956269</v>
      </c>
      <c r="F35" s="45">
        <f t="shared" si="14"/>
        <v>34758.31544</v>
      </c>
      <c r="G35" s="44">
        <f t="shared" si="3"/>
        <v>0.597194196</v>
      </c>
      <c r="H35" s="45">
        <f t="shared" si="15"/>
        <v>58202.70136</v>
      </c>
      <c r="I35" s="44">
        <f t="shared" si="4"/>
        <v>0.8898939076</v>
      </c>
      <c r="J35" s="45">
        <f t="shared" si="16"/>
        <v>65404.09015</v>
      </c>
      <c r="K35" s="44">
        <f t="shared" si="5"/>
        <v>1</v>
      </c>
      <c r="L35" s="45">
        <f t="shared" ref="L35:L36" si="37">L34*(1.035^2)</f>
        <v>41980.81561</v>
      </c>
      <c r="M35" s="45">
        <f t="shared" si="21"/>
        <v>16221.88575</v>
      </c>
      <c r="N35" s="45">
        <f t="shared" si="17"/>
        <v>23423.27454</v>
      </c>
      <c r="O35" s="45">
        <f t="shared" si="22"/>
        <v>65404.09015</v>
      </c>
    </row>
    <row r="36">
      <c r="A36" s="42">
        <v>50072.0</v>
      </c>
      <c r="B36" s="45">
        <f t="shared" si="35"/>
        <v>25559.27302</v>
      </c>
      <c r="C36" s="44">
        <f t="shared" si="13"/>
        <v>0.4609663705</v>
      </c>
      <c r="D36" s="45">
        <f t="shared" si="36"/>
        <v>55447.15331</v>
      </c>
      <c r="E36" s="44">
        <f t="shared" si="2"/>
        <v>0.8190944738</v>
      </c>
      <c r="F36" s="45">
        <f t="shared" si="14"/>
        <v>36881.39377</v>
      </c>
      <c r="G36" s="44">
        <f t="shared" si="3"/>
        <v>0.5971674994</v>
      </c>
      <c r="H36" s="45">
        <f t="shared" si="15"/>
        <v>61760.55095</v>
      </c>
      <c r="I36" s="44">
        <f t="shared" si="4"/>
        <v>0.9123593</v>
      </c>
      <c r="J36" s="45">
        <f t="shared" si="16"/>
        <v>67693.2333</v>
      </c>
      <c r="K36" s="44">
        <f t="shared" si="5"/>
        <v>1</v>
      </c>
      <c r="L36" s="45">
        <f t="shared" si="37"/>
        <v>44970.8992</v>
      </c>
      <c r="M36" s="45">
        <f t="shared" si="21"/>
        <v>16789.65175</v>
      </c>
      <c r="N36" s="45">
        <f t="shared" si="17"/>
        <v>22722.3341</v>
      </c>
      <c r="O36" s="45">
        <f t="shared" si="22"/>
        <v>67693.2333</v>
      </c>
    </row>
    <row r="37">
      <c r="A37" s="46">
        <v>50437.0</v>
      </c>
      <c r="B37" s="45">
        <f t="shared" ref="B37:B38" si="38">B36</f>
        <v>25559.27302</v>
      </c>
      <c r="C37" s="44">
        <f t="shared" si="13"/>
        <v>0.4609663705</v>
      </c>
      <c r="D37" s="45">
        <f t="shared" ref="D37:D38" si="39">D36</f>
        <v>55447.15331</v>
      </c>
      <c r="E37" s="44">
        <f t="shared" si="2"/>
        <v>0.7913956269</v>
      </c>
      <c r="F37" s="45">
        <f t="shared" si="14"/>
        <v>37233.97646</v>
      </c>
      <c r="G37" s="44">
        <f t="shared" si="3"/>
        <v>0.597194196</v>
      </c>
      <c r="H37" s="45">
        <f t="shared" si="15"/>
        <v>62348.18876</v>
      </c>
      <c r="I37" s="44">
        <f t="shared" si="4"/>
        <v>0.8898939076</v>
      </c>
      <c r="J37" s="45">
        <f t="shared" si="16"/>
        <v>70062.49647</v>
      </c>
      <c r="K37" s="44">
        <f t="shared" si="5"/>
        <v>1</v>
      </c>
      <c r="L37" s="45">
        <f t="shared" ref="L37:L38" si="40">L36</f>
        <v>44970.8992</v>
      </c>
      <c r="M37" s="45">
        <f t="shared" si="21"/>
        <v>17377.28956</v>
      </c>
      <c r="N37" s="45">
        <f t="shared" si="17"/>
        <v>25091.59727</v>
      </c>
      <c r="O37" s="45">
        <f t="shared" si="22"/>
        <v>70062.49647</v>
      </c>
    </row>
    <row r="38">
      <c r="A38" s="42">
        <v>50802.0</v>
      </c>
      <c r="B38" s="45">
        <f t="shared" si="38"/>
        <v>25559.27302</v>
      </c>
      <c r="C38" s="44">
        <f t="shared" si="13"/>
        <v>0.4609663705</v>
      </c>
      <c r="D38" s="45">
        <f t="shared" si="39"/>
        <v>55447.15331</v>
      </c>
      <c r="E38" s="44">
        <f t="shared" si="2"/>
        <v>0.7646334559</v>
      </c>
      <c r="F38" s="45">
        <f t="shared" si="14"/>
        <v>37598.89954</v>
      </c>
      <c r="G38" s="44">
        <f t="shared" si="3"/>
        <v>0.5972213021</v>
      </c>
      <c r="H38" s="45">
        <f t="shared" si="15"/>
        <v>62956.39389</v>
      </c>
      <c r="I38" s="44">
        <f t="shared" si="4"/>
        <v>0.8681882145</v>
      </c>
      <c r="J38" s="45">
        <f t="shared" si="16"/>
        <v>72514.68385</v>
      </c>
      <c r="K38" s="44">
        <f t="shared" si="5"/>
        <v>1</v>
      </c>
      <c r="L38" s="45">
        <f t="shared" si="40"/>
        <v>44970.8992</v>
      </c>
      <c r="M38" s="45">
        <f t="shared" si="21"/>
        <v>17985.49469</v>
      </c>
      <c r="N38" s="45">
        <f t="shared" si="17"/>
        <v>27543.78465</v>
      </c>
      <c r="O38" s="45">
        <f t="shared" si="22"/>
        <v>72514.68385</v>
      </c>
    </row>
    <row r="39">
      <c r="A39" s="46">
        <v>51167.0</v>
      </c>
      <c r="B39" s="45">
        <f t="shared" ref="B39:B40" si="41">B38*(1.035^2)</f>
        <v>27379.73224</v>
      </c>
      <c r="C39" s="44">
        <f t="shared" si="13"/>
        <v>0.4609663705</v>
      </c>
      <c r="D39" s="45">
        <f t="shared" ref="D39:D40" si="42">D38*(1.035^2)</f>
        <v>59396.37681</v>
      </c>
      <c r="E39" s="44">
        <f t="shared" si="2"/>
        <v>0.7913956269</v>
      </c>
      <c r="F39" s="45">
        <f t="shared" si="14"/>
        <v>39885.96643</v>
      </c>
      <c r="G39" s="44">
        <f t="shared" si="3"/>
        <v>0.597194196</v>
      </c>
      <c r="H39" s="45">
        <f t="shared" si="15"/>
        <v>66788.9385</v>
      </c>
      <c r="I39" s="44">
        <f t="shared" si="4"/>
        <v>0.8898939076</v>
      </c>
      <c r="J39" s="45">
        <f t="shared" si="16"/>
        <v>75052.69778</v>
      </c>
      <c r="K39" s="44">
        <f t="shared" si="5"/>
        <v>1</v>
      </c>
      <c r="L39" s="45">
        <f t="shared" ref="L39:L40" si="43">L38*(1.035^2)</f>
        <v>48173.9515</v>
      </c>
      <c r="M39" s="45">
        <f t="shared" si="21"/>
        <v>18614.98701</v>
      </c>
      <c r="N39" s="45">
        <f t="shared" si="17"/>
        <v>26878.74628</v>
      </c>
      <c r="O39" s="45">
        <f t="shared" si="22"/>
        <v>75052.69778</v>
      </c>
    </row>
    <row r="40">
      <c r="A40" s="42">
        <v>51533.0</v>
      </c>
      <c r="B40" s="45">
        <f t="shared" si="41"/>
        <v>29329.85367</v>
      </c>
      <c r="C40" s="44">
        <f t="shared" si="13"/>
        <v>0.4609663705</v>
      </c>
      <c r="D40" s="45">
        <f t="shared" si="42"/>
        <v>63626.88375</v>
      </c>
      <c r="E40" s="44">
        <f t="shared" si="2"/>
        <v>0.8190944738</v>
      </c>
      <c r="F40" s="45">
        <f t="shared" si="14"/>
        <v>42322.24765</v>
      </c>
      <c r="G40" s="44">
        <f t="shared" si="3"/>
        <v>0.5971674994</v>
      </c>
      <c r="H40" s="45">
        <f t="shared" si="15"/>
        <v>70871.65275</v>
      </c>
      <c r="I40" s="44">
        <f t="shared" si="4"/>
        <v>0.9123593</v>
      </c>
      <c r="J40" s="45">
        <f t="shared" si="16"/>
        <v>77679.5422</v>
      </c>
      <c r="K40" s="44">
        <f t="shared" si="5"/>
        <v>1</v>
      </c>
      <c r="L40" s="45">
        <f t="shared" si="43"/>
        <v>51605.14119</v>
      </c>
      <c r="M40" s="45">
        <f t="shared" si="21"/>
        <v>19266.51155</v>
      </c>
      <c r="N40" s="45">
        <f t="shared" si="17"/>
        <v>26074.40101</v>
      </c>
      <c r="O40" s="45">
        <f t="shared" si="22"/>
        <v>77679.5422</v>
      </c>
    </row>
    <row r="41">
      <c r="A41" s="46">
        <v>51898.0</v>
      </c>
      <c r="B41" s="45">
        <f t="shared" ref="B41:B42" si="44">B40</f>
        <v>29329.85367</v>
      </c>
      <c r="C41" s="44">
        <f t="shared" si="13"/>
        <v>0.4609663705</v>
      </c>
      <c r="D41" s="45">
        <f t="shared" ref="D41:D42" si="45">D40</f>
        <v>63626.88375</v>
      </c>
      <c r="E41" s="44">
        <f t="shared" si="2"/>
        <v>0.7913956269</v>
      </c>
      <c r="F41" s="45">
        <f t="shared" si="14"/>
        <v>42726.84439</v>
      </c>
      <c r="G41" s="44">
        <f t="shared" si="3"/>
        <v>0.597194196</v>
      </c>
      <c r="H41" s="45">
        <f t="shared" si="15"/>
        <v>71545.98065</v>
      </c>
      <c r="I41" s="44">
        <f t="shared" si="4"/>
        <v>0.8898939076</v>
      </c>
      <c r="J41" s="45">
        <f t="shared" si="16"/>
        <v>80398.32618</v>
      </c>
      <c r="K41" s="44">
        <f t="shared" si="5"/>
        <v>1</v>
      </c>
      <c r="L41" s="45">
        <f t="shared" ref="L41:L42" si="46">L40</f>
        <v>51605.14119</v>
      </c>
      <c r="M41" s="45">
        <f t="shared" si="21"/>
        <v>19940.83946</v>
      </c>
      <c r="N41" s="45">
        <f t="shared" si="17"/>
        <v>28793.18499</v>
      </c>
      <c r="O41" s="45">
        <f t="shared" si="22"/>
        <v>80398.32618</v>
      </c>
    </row>
    <row r="42">
      <c r="A42" s="42">
        <v>52263.0</v>
      </c>
      <c r="B42" s="45">
        <f t="shared" si="44"/>
        <v>29329.85367</v>
      </c>
      <c r="C42" s="44">
        <f t="shared" si="13"/>
        <v>0.4609663705</v>
      </c>
      <c r="D42" s="45">
        <f t="shared" si="45"/>
        <v>63626.88375</v>
      </c>
      <c r="E42" s="44">
        <f t="shared" si="2"/>
        <v>0.7646334559</v>
      </c>
      <c r="F42" s="45">
        <f t="shared" si="14"/>
        <v>43145.60202</v>
      </c>
      <c r="G42" s="44">
        <f t="shared" si="3"/>
        <v>0.5972213021</v>
      </c>
      <c r="H42" s="45">
        <f t="shared" si="15"/>
        <v>72243.91003</v>
      </c>
      <c r="I42" s="44">
        <f t="shared" si="4"/>
        <v>0.8681882145</v>
      </c>
      <c r="J42" s="45">
        <f t="shared" si="16"/>
        <v>83212.2676</v>
      </c>
      <c r="K42" s="44">
        <f t="shared" si="5"/>
        <v>1</v>
      </c>
      <c r="L42" s="45">
        <f t="shared" si="46"/>
        <v>51605.14119</v>
      </c>
      <c r="M42" s="45">
        <f t="shared" si="21"/>
        <v>20638.76884</v>
      </c>
      <c r="N42" s="45">
        <f t="shared" si="17"/>
        <v>31607.1264</v>
      </c>
      <c r="O42" s="45">
        <f t="shared" si="22"/>
        <v>83212.2676</v>
      </c>
    </row>
    <row r="43">
      <c r="A43" s="46">
        <v>52628.0</v>
      </c>
      <c r="B43" s="45">
        <f t="shared" ref="B43:B44" si="47">B42*(1.035^2)</f>
        <v>31418.8725</v>
      </c>
      <c r="C43" s="44">
        <f t="shared" si="13"/>
        <v>0.4609663705</v>
      </c>
      <c r="D43" s="45">
        <f t="shared" ref="D43:D44" si="48">D42*(1.035^2)</f>
        <v>68158.70854</v>
      </c>
      <c r="E43" s="44">
        <f t="shared" si="2"/>
        <v>0.7913956269</v>
      </c>
      <c r="F43" s="45">
        <f t="shared" si="14"/>
        <v>45770.06388</v>
      </c>
      <c r="G43" s="44">
        <f t="shared" si="3"/>
        <v>0.597194196</v>
      </c>
      <c r="H43" s="45">
        <f t="shared" si="15"/>
        <v>76641.84312</v>
      </c>
      <c r="I43" s="44">
        <f t="shared" si="4"/>
        <v>0.8898939076</v>
      </c>
      <c r="J43" s="45">
        <f t="shared" si="16"/>
        <v>86124.69696</v>
      </c>
      <c r="K43" s="44">
        <f t="shared" si="5"/>
        <v>1</v>
      </c>
      <c r="L43" s="45">
        <f t="shared" ref="L43:L44" si="49">L42*(1.035^2)</f>
        <v>55280.71737</v>
      </c>
      <c r="M43" s="45">
        <f t="shared" si="21"/>
        <v>21361.12575</v>
      </c>
      <c r="N43" s="45">
        <f t="shared" si="17"/>
        <v>30843.97959</v>
      </c>
      <c r="O43" s="45">
        <f t="shared" si="22"/>
        <v>86124.69696</v>
      </c>
    </row>
    <row r="44">
      <c r="A44" s="42">
        <v>52994.0</v>
      </c>
      <c r="B44" s="45">
        <f t="shared" si="47"/>
        <v>33656.68169</v>
      </c>
      <c r="C44" s="44">
        <f t="shared" si="13"/>
        <v>0.4609663705</v>
      </c>
      <c r="D44" s="45">
        <f t="shared" si="48"/>
        <v>73013.31256</v>
      </c>
      <c r="E44" s="44">
        <f t="shared" si="2"/>
        <v>0.8190944738</v>
      </c>
      <c r="F44" s="45">
        <f t="shared" si="14"/>
        <v>48565.75261</v>
      </c>
      <c r="G44" s="44">
        <f t="shared" si="3"/>
        <v>0.5971674994</v>
      </c>
      <c r="H44" s="45">
        <f t="shared" si="15"/>
        <v>81326.85162</v>
      </c>
      <c r="I44" s="44">
        <f t="shared" si="4"/>
        <v>0.9123593</v>
      </c>
      <c r="J44" s="45">
        <f t="shared" si="16"/>
        <v>89139.06136</v>
      </c>
      <c r="K44" s="44">
        <f t="shared" si="5"/>
        <v>1</v>
      </c>
      <c r="L44" s="45">
        <f t="shared" si="49"/>
        <v>59218.08647</v>
      </c>
      <c r="M44" s="45">
        <f t="shared" si="21"/>
        <v>22108.76515</v>
      </c>
      <c r="N44" s="45">
        <f t="shared" si="17"/>
        <v>29920.97489</v>
      </c>
      <c r="O44" s="45">
        <f t="shared" si="22"/>
        <v>89139.06136</v>
      </c>
    </row>
    <row r="45">
      <c r="A45" s="46">
        <v>53359.0</v>
      </c>
      <c r="B45" s="45">
        <f t="shared" ref="B45:B46" si="50">B44</f>
        <v>33656.68169</v>
      </c>
      <c r="C45" s="44">
        <f t="shared" si="13"/>
        <v>0.4609663705</v>
      </c>
      <c r="D45" s="45">
        <f t="shared" ref="D45:D46" si="51">D44</f>
        <v>73013.31256</v>
      </c>
      <c r="E45" s="44">
        <f t="shared" si="2"/>
        <v>0.7913956269</v>
      </c>
      <c r="F45" s="45">
        <f t="shared" si="14"/>
        <v>49030.03668</v>
      </c>
      <c r="G45" s="44">
        <f t="shared" si="3"/>
        <v>0.597194196</v>
      </c>
      <c r="H45" s="45">
        <f t="shared" si="15"/>
        <v>82100.6584</v>
      </c>
      <c r="I45" s="44">
        <f t="shared" si="4"/>
        <v>0.8898939076</v>
      </c>
      <c r="J45" s="45">
        <f t="shared" si="16"/>
        <v>92258.9285</v>
      </c>
      <c r="K45" s="44">
        <f t="shared" si="5"/>
        <v>1</v>
      </c>
      <c r="L45" s="45">
        <f t="shared" ref="L45:L46" si="52">L44</f>
        <v>59218.08647</v>
      </c>
      <c r="M45" s="45">
        <f t="shared" si="21"/>
        <v>22882.57193</v>
      </c>
      <c r="N45" s="45">
        <f t="shared" si="17"/>
        <v>33040.84204</v>
      </c>
      <c r="O45" s="45">
        <f t="shared" si="22"/>
        <v>92258.9285</v>
      </c>
    </row>
    <row r="46">
      <c r="A46" s="42">
        <v>53724.0</v>
      </c>
      <c r="B46" s="45">
        <f t="shared" si="50"/>
        <v>33656.68169</v>
      </c>
      <c r="C46" s="44">
        <f t="shared" si="13"/>
        <v>0.4609663705</v>
      </c>
      <c r="D46" s="45">
        <f t="shared" si="51"/>
        <v>73013.31256</v>
      </c>
      <c r="E46" s="44">
        <f t="shared" si="2"/>
        <v>0.7646334559</v>
      </c>
      <c r="F46" s="45">
        <f t="shared" si="14"/>
        <v>49510.57069</v>
      </c>
      <c r="G46" s="44">
        <f t="shared" si="3"/>
        <v>0.5972213021</v>
      </c>
      <c r="H46" s="45">
        <f t="shared" si="15"/>
        <v>82901.54842</v>
      </c>
      <c r="I46" s="44">
        <f t="shared" si="4"/>
        <v>0.8681882145</v>
      </c>
      <c r="J46" s="45">
        <f t="shared" si="16"/>
        <v>95487.991</v>
      </c>
      <c r="K46" s="44">
        <f t="shared" si="5"/>
        <v>1</v>
      </c>
      <c r="L46" s="45">
        <f t="shared" si="52"/>
        <v>59218.08647</v>
      </c>
      <c r="M46" s="45">
        <f t="shared" si="21"/>
        <v>23683.46195</v>
      </c>
      <c r="N46" s="45">
        <f t="shared" si="17"/>
        <v>36269.90453</v>
      </c>
      <c r="O46" s="45">
        <f t="shared" si="22"/>
        <v>95487.991</v>
      </c>
    </row>
  </sheetData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11" width="12.63"/>
  </cols>
  <sheetData>
    <row r="1">
      <c r="A1" s="32" t="s">
        <v>97</v>
      </c>
      <c r="B1" s="33" t="str">
        <f>'Página23'!B1</f>
        <v>PGFN | Real (bruto)</v>
      </c>
      <c r="C1" s="33" t="str">
        <f>'Página23'!C1</f>
        <v>PGFN | Ideal (bruto)</v>
      </c>
      <c r="D1" s="33" t="str">
        <f>'Página23'!D1</f>
        <v>SERFB | Real (bruto)</v>
      </c>
      <c r="E1" s="33" t="str">
        <f>'Página23'!E1</f>
        <v>SERFB | Ideal (bruto)</v>
      </c>
      <c r="F1" s="33" t="str">
        <f>'Página23'!F1</f>
        <v>STN (bruto)</v>
      </c>
      <c r="G1" s="33" t="str">
        <f>'Página23'!G1</f>
        <v>PGFN | Real (líquido)</v>
      </c>
      <c r="H1" s="33" t="str">
        <f>'Página23'!H1</f>
        <v>PGFN | Ideal (líquido)</v>
      </c>
      <c r="I1" s="33" t="str">
        <f>'Página23'!I1</f>
        <v>SERFB | Real (líquido)</v>
      </c>
      <c r="J1" s="33" t="str">
        <f>'Página23'!J1</f>
        <v>SERFB | Ideal (líquido)</v>
      </c>
      <c r="K1" s="33" t="str">
        <f>'Página23'!K1</f>
        <v>STN (líquido)</v>
      </c>
    </row>
    <row r="2">
      <c r="A2" s="74">
        <v>2016.0</v>
      </c>
      <c r="B2" s="48">
        <f>SUMIF('Página12'!$T$2:$T$145,$A2,'Página12'!B$2:B$145)</f>
        <v>325160.44</v>
      </c>
      <c r="C2" s="48">
        <f>SUMIF('Página12'!$T$2:$T$145,$A2,'Página12'!C$2:C$145)</f>
        <v>308061.47</v>
      </c>
      <c r="D2" s="48">
        <f>SUMIF('Página12'!$T$2:$T$145,$A2,'Página12'!D$2:D$145)</f>
        <v>314616.66</v>
      </c>
      <c r="E2" s="48">
        <f>SUMIF('Página12'!$T$2:$T$145,$A2,'Página12'!E$2:E$145)</f>
        <v>308061.47</v>
      </c>
      <c r="F2" s="48">
        <f>SUMIF('Página12'!$T$2:$T$145,$A2,'Página12'!F$2:F$145)</f>
        <v>292658.37</v>
      </c>
      <c r="G2" s="48">
        <f>SUMIF('Página12'!$T$2:$T$145,$A2,'Página12'!G$2:G$145)</f>
        <v>222764.63</v>
      </c>
      <c r="H2" s="48">
        <f>SUMIF('Página12'!$T$2:$T$145,$A2,'Página12'!H$2:H$145)</f>
        <v>210367.83</v>
      </c>
      <c r="I2" s="48">
        <f>SUMIF('Página12'!$T$2:$T$145,$A2,'Página12'!I$2:I$145)</f>
        <v>215745.83</v>
      </c>
      <c r="J2" s="48">
        <f>SUMIF('Página12'!$T$2:$T$145,$A2,'Página12'!J$2:J$145)</f>
        <v>210367.83</v>
      </c>
      <c r="K2" s="48">
        <f>SUMIF('Página12'!$T$2:$T$145,$A2,'Página12'!K$2:K$145)</f>
        <v>200429.01</v>
      </c>
    </row>
    <row r="3">
      <c r="A3" s="74">
        <v>2017.0</v>
      </c>
      <c r="B3" s="48">
        <f>SUMIF('Página12'!$T$2:$T$145,$A3,'Página12'!B$2:B$145)</f>
        <v>376515.79</v>
      </c>
      <c r="C3" s="48">
        <f>SUMIF('Página12'!$T$2:$T$145,$A3,'Página12'!C$2:C$145)</f>
        <v>338835.92</v>
      </c>
      <c r="D3" s="48">
        <f>SUMIF('Página12'!$T$2:$T$145,$A3,'Página12'!D$2:D$145)</f>
        <v>368565.05</v>
      </c>
      <c r="E3" s="48">
        <f>SUMIF('Página12'!$T$2:$T$145,$A3,'Página12'!E$2:E$145)</f>
        <v>338835.92</v>
      </c>
      <c r="F3" s="48">
        <f>SUMIF('Página12'!$T$2:$T$145,$A3,'Página12'!F$2:F$145)</f>
        <v>321894.09</v>
      </c>
      <c r="G3" s="48">
        <f>SUMIF('Página12'!$T$2:$T$145,$A3,'Página12'!G$2:G$145)</f>
        <v>258042.88</v>
      </c>
      <c r="H3" s="48">
        <f>SUMIF('Página12'!$T$2:$T$145,$A3,'Página12'!H$2:H$145)</f>
        <v>230225.03</v>
      </c>
      <c r="I3" s="48">
        <f>SUMIF('Página12'!$T$2:$T$145,$A3,'Página12'!I$2:I$145)</f>
        <v>252278.64</v>
      </c>
      <c r="J3" s="48">
        <f>SUMIF('Página12'!$T$2:$T$145,$A3,'Página12'!J$2:J$145)</f>
        <v>230225.03</v>
      </c>
      <c r="K3" s="48">
        <f>SUMIF('Página12'!$T$2:$T$145,$A3,'Página12'!K$2:K$145)</f>
        <v>219293.33</v>
      </c>
    </row>
    <row r="4">
      <c r="A4" s="74">
        <v>2018.0</v>
      </c>
      <c r="B4" s="48">
        <f>SUMIF('Página12'!$T$2:$T$145,$A4,'Página12'!B$2:B$145)</f>
        <v>427006.31</v>
      </c>
      <c r="C4" s="48">
        <f>SUMIF('Página12'!$T$2:$T$145,$A4,'Página12'!C$2:C$145)</f>
        <v>361332.84</v>
      </c>
      <c r="D4" s="48">
        <f>SUMIF('Página12'!$T$2:$T$145,$A4,'Página12'!D$2:D$145)</f>
        <v>384361.99</v>
      </c>
      <c r="E4" s="48">
        <f>SUMIF('Página12'!$T$2:$T$145,$A4,'Página12'!E$2:E$145)</f>
        <v>361332.84</v>
      </c>
      <c r="F4" s="48">
        <f>SUMIF('Página12'!$T$2:$T$145,$A4,'Página12'!F$2:F$145)</f>
        <v>343266.22</v>
      </c>
      <c r="G4" s="48">
        <f>SUMIF('Página12'!$T$2:$T$145,$A4,'Página12'!G$2:G$145)</f>
        <v>293388.78</v>
      </c>
      <c r="H4" s="48">
        <f>SUMIF('Página12'!$T$2:$T$145,$A4,'Página12'!H$2:H$145)</f>
        <v>244741.21</v>
      </c>
      <c r="I4" s="48">
        <f>SUMIF('Página12'!$T$2:$T$145,$A4,'Página12'!I$2:I$145)</f>
        <v>262471.69</v>
      </c>
      <c r="J4" s="48">
        <f>SUMIF('Página12'!$T$2:$T$145,$A4,'Página12'!J$2:J$145)</f>
        <v>244741.21</v>
      </c>
      <c r="K4" s="48">
        <f>SUMIF('Página12'!$T$2:$T$145,$A4,'Página12'!K$2:K$145)</f>
        <v>233083.65</v>
      </c>
    </row>
    <row r="5">
      <c r="A5" s="74">
        <v>2019.0</v>
      </c>
      <c r="B5" s="48">
        <f>SUMIF('Página12'!$T$2:$T$145,$A5,'Página12'!B$2:B$145)</f>
        <v>450634.33</v>
      </c>
      <c r="C5" s="48">
        <f>SUMIF('Página12'!$T$2:$T$145,$A5,'Página12'!C$2:C$145)</f>
        <v>384126.13</v>
      </c>
      <c r="D5" s="48">
        <f>SUMIF('Página12'!$T$2:$T$145,$A5,'Página12'!D$2:D$145)</f>
        <v>400038.27</v>
      </c>
      <c r="E5" s="48">
        <f>SUMIF('Página12'!$T$2:$T$145,$A5,'Página12'!E$2:E$145)</f>
        <v>384126.13</v>
      </c>
      <c r="F5" s="48">
        <f>SUMIF('Página12'!$T$2:$T$145,$A5,'Página12'!F$2:F$145)</f>
        <v>364919.81</v>
      </c>
      <c r="G5" s="48">
        <f>SUMIF('Página12'!$T$2:$T$145,$A5,'Página12'!G$2:G$145)</f>
        <v>309268.8</v>
      </c>
      <c r="H5" s="48">
        <f>SUMIF('Página12'!$T$2:$T$145,$A5,'Página12'!H$2:H$145)</f>
        <v>259448.58</v>
      </c>
      <c r="I5" s="48">
        <f>SUMIF('Página12'!$T$2:$T$145,$A5,'Página12'!I$2:I$145)</f>
        <v>272586.78</v>
      </c>
      <c r="J5" s="48">
        <f>SUMIF('Página12'!$T$2:$T$145,$A5,'Página12'!J$2:J$145)</f>
        <v>259448.58</v>
      </c>
      <c r="K5" s="48">
        <f>SUMIF('Página12'!$T$2:$T$145,$A5,'Página12'!K$2:K$145)</f>
        <v>247055.7</v>
      </c>
    </row>
    <row r="6">
      <c r="A6" s="74">
        <v>2020.0</v>
      </c>
      <c r="B6" s="48">
        <f>SUMIF('Página12'!$T$2:$T$145,$A6,'Página12'!B$2:B$145)</f>
        <v>461202.93</v>
      </c>
      <c r="C6" s="48">
        <f>SUMIF('Página12'!$T$2:$T$145,$A6,'Página12'!C$2:C$145)</f>
        <v>384126.13</v>
      </c>
      <c r="D6" s="48">
        <f>SUMIF('Página12'!$T$2:$T$145,$A6,'Página12'!D$2:D$145)</f>
        <v>400038.27</v>
      </c>
      <c r="E6" s="48">
        <f>SUMIF('Página12'!$T$2:$T$145,$A6,'Página12'!E$2:E$145)</f>
        <v>384126.13</v>
      </c>
      <c r="F6" s="48">
        <f>SUMIF('Página12'!$T$2:$T$145,$A6,'Página12'!F$2:F$145)</f>
        <v>364919.81</v>
      </c>
      <c r="G6" s="48">
        <f>SUMIF('Página12'!$T$2:$T$145,$A6,'Página12'!G$2:G$145)</f>
        <v>306402.98</v>
      </c>
      <c r="H6" s="48">
        <f>SUMIF('Página12'!$T$2:$T$145,$A6,'Página12'!H$2:H$145)</f>
        <v>247930.18</v>
      </c>
      <c r="I6" s="48">
        <f>SUMIF('Página12'!$T$2:$T$145,$A6,'Página12'!I$2:I$145)</f>
        <v>262058.66</v>
      </c>
      <c r="J6" s="48">
        <f>SUMIF('Página12'!$T$2:$T$145,$A6,'Página12'!J$2:J$145)</f>
        <v>247930.18</v>
      </c>
      <c r="K6" s="48">
        <f>SUMIF('Página12'!$T$2:$T$145,$A6,'Página12'!K$2:K$145)</f>
        <v>236484.15</v>
      </c>
    </row>
    <row r="7">
      <c r="A7" s="74">
        <v>2021.0</v>
      </c>
      <c r="B7" s="48">
        <f>SUMIF('Página12'!$T$2:$T$145,$A7,'Página12'!B$2:B$145)</f>
        <v>479167.75</v>
      </c>
      <c r="C7" s="48">
        <f>SUMIF('Página12'!$T$2:$T$145,$A7,'Página12'!C$2:C$145)</f>
        <v>384126.13</v>
      </c>
      <c r="D7" s="48">
        <f>SUMIF('Página12'!$T$2:$T$145,$A7,'Página12'!D$2:D$145)</f>
        <v>400038.27</v>
      </c>
      <c r="E7" s="48">
        <f>SUMIF('Página12'!$T$2:$T$145,$A7,'Página12'!E$2:E$145)</f>
        <v>384126.13</v>
      </c>
      <c r="F7" s="48">
        <f>SUMIF('Página12'!$T$2:$T$145,$A7,'Página12'!F$2:F$145)</f>
        <v>364919.81</v>
      </c>
      <c r="G7" s="48">
        <f>SUMIF('Página12'!$T$2:$T$145,$A7,'Página12'!G$2:G$145)</f>
        <v>318044.7</v>
      </c>
      <c r="H7" s="48">
        <f>SUMIF('Página12'!$T$2:$T$145,$A7,'Página12'!H$2:H$145)</f>
        <v>246372.63</v>
      </c>
      <c r="I7" s="48">
        <f>SUMIF('Página12'!$T$2:$T$145,$A7,'Página12'!I$2:I$145)</f>
        <v>260675.89</v>
      </c>
      <c r="J7" s="48">
        <f>SUMIF('Página12'!$T$2:$T$145,$A7,'Página12'!J$2:J$145)</f>
        <v>246372.63</v>
      </c>
      <c r="K7" s="48">
        <f>SUMIF('Página12'!$T$2:$T$145,$A7,'Página12'!K$2:K$145)</f>
        <v>235093.72</v>
      </c>
    </row>
    <row r="8">
      <c r="A8" s="74">
        <v>2022.0</v>
      </c>
      <c r="B8" s="48">
        <f>SUMIF('Página12'!$T$2:$T$145,$A8,'Página12'!B$2:B$145)</f>
        <v>517782.39</v>
      </c>
      <c r="C8" s="48">
        <f>SUMIF('Página12'!$T$2:$T$145,$A8,'Página12'!C$2:C$145)</f>
        <v>384126.13</v>
      </c>
      <c r="D8" s="48">
        <f>SUMIF('Página12'!$T$2:$T$145,$A8,'Página12'!D$2:D$145)</f>
        <v>400038.27</v>
      </c>
      <c r="E8" s="48">
        <f>SUMIF('Página12'!$T$2:$T$145,$A8,'Página12'!E$2:E$145)</f>
        <v>384126.13</v>
      </c>
      <c r="F8" s="48">
        <f>SUMIF('Página12'!$T$2:$T$145,$A8,'Página12'!F$2:F$145)</f>
        <v>364919.81</v>
      </c>
      <c r="G8" s="48">
        <f>SUMIF('Página12'!$T$2:$T$145,$A8,'Página12'!G$2:G$145)</f>
        <v>346975.33</v>
      </c>
      <c r="H8" s="48">
        <f>SUMIF('Página12'!$T$2:$T$145,$A8,'Página12'!H$2:H$145)</f>
        <v>247307.56</v>
      </c>
      <c r="I8" s="48">
        <f>SUMIF('Página12'!$T$2:$T$145,$A8,'Página12'!I$2:I$145)</f>
        <v>261610.93</v>
      </c>
      <c r="J8" s="48">
        <f>SUMIF('Página12'!$T$2:$T$145,$A8,'Página12'!J$2:J$145)</f>
        <v>247307.56</v>
      </c>
      <c r="K8" s="48">
        <f>SUMIF('Página12'!$T$2:$T$145,$A8,'Página12'!K$2:K$145)</f>
        <v>236028.76</v>
      </c>
    </row>
    <row r="9">
      <c r="A9" s="74">
        <v>2023.0</v>
      </c>
      <c r="B9" s="48">
        <f>SUMIF('Página12'!$T$2:$T$145,$A9,'Página12'!B$2:B$145)</f>
        <v>543982.39</v>
      </c>
      <c r="C9" s="48">
        <f>SUMIF('Página12'!$T$2:$T$145,$A9,'Página12'!C$2:C$145)</f>
        <v>408325.77</v>
      </c>
      <c r="D9" s="48">
        <f>SUMIF('Página12'!$T$2:$T$145,$A9,'Página12'!D$2:D$145)</f>
        <v>422972.53</v>
      </c>
      <c r="E9" s="48">
        <f>SUMIF('Página12'!$T$2:$T$145,$A9,'Página12'!E$2:E$145)</f>
        <v>408325.77</v>
      </c>
      <c r="F9" s="48">
        <f>SUMIF('Página12'!$T$2:$T$145,$A9,'Página12'!F$2:F$145)</f>
        <v>387909.51</v>
      </c>
      <c r="G9" s="48">
        <f>SUMIF('Página12'!$T$2:$T$145,$A9,'Página12'!G$2:G$145)</f>
        <v>363562.26</v>
      </c>
      <c r="H9" s="48">
        <f>SUMIF('Página12'!$T$2:$T$145,$A9,'Página12'!H$2:H$145)</f>
        <v>262270.12</v>
      </c>
      <c r="I9" s="48">
        <f>SUMIF('Página12'!$T$2:$T$145,$A9,'Página12'!I$2:I$145)</f>
        <v>275830.28</v>
      </c>
      <c r="J9" s="48">
        <f>SUMIF('Página12'!$T$2:$T$145,$A9,'Página12'!J$2:J$145)</f>
        <v>262270.12</v>
      </c>
      <c r="K9" s="48">
        <f>SUMIF('Página12'!$T$2:$T$145,$A9,'Página12'!K$2:K$145)</f>
        <v>250280.61</v>
      </c>
    </row>
    <row r="10">
      <c r="A10" s="74">
        <v>2024.0</v>
      </c>
      <c r="B10" s="48">
        <f>SUMIF('Página12'!$T$2:$T$145,$A10,'Página12'!B$2:B$145)</f>
        <v>579717.99</v>
      </c>
      <c r="C10" s="48">
        <f>SUMIF('Página12'!$T$2:$T$145,$A10,'Página12'!C$2:C$145)</f>
        <v>418697.41</v>
      </c>
      <c r="D10" s="48">
        <f>SUMIF('Página12'!$T$2:$T$145,$A10,'Página12'!D$2:D$145)</f>
        <v>452301.25</v>
      </c>
      <c r="E10" s="48">
        <f>SUMIF('Página12'!$T$2:$T$145,$A10,'Página12'!E$2:E$145)</f>
        <v>418697.41</v>
      </c>
      <c r="F10" s="48">
        <f>SUMIF('Página12'!$T$2:$T$145,$A10,'Página12'!F$2:F$145)</f>
        <v>397762.59</v>
      </c>
      <c r="G10" s="48">
        <f>SUMIF('Página12'!$T$2:$T$145,$A10,'Página12'!G$2:G$145)</f>
        <v>388721.08</v>
      </c>
      <c r="H10" s="48">
        <f>SUMIF('Página12'!$T$2:$T$145,$A10,'Página12'!H$2:H$145)</f>
        <v>268965.43</v>
      </c>
      <c r="I10" s="48">
        <f>SUMIF('Página12'!$T$2:$T$145,$A10,'Página12'!I$2:I$145)</f>
        <v>296344.17</v>
      </c>
      <c r="J10" s="48">
        <f>SUMIF('Página12'!$T$2:$T$145,$A10,'Página12'!J$2:J$145)</f>
        <v>268965.43</v>
      </c>
      <c r="K10" s="48">
        <f>SUMIF('Página12'!$T$2:$T$145,$A10,'Página12'!K$2:K$145)</f>
        <v>256671.47</v>
      </c>
    </row>
    <row r="11">
      <c r="A11" s="74">
        <v>2025.0</v>
      </c>
      <c r="B11" s="48">
        <f>SUMIF('Página12'!$T$2:$T$145,$A11,'Página12'!B$2:B$145)</f>
        <v>610366.89</v>
      </c>
      <c r="C11" s="48">
        <f>SUMIF('Página12'!$T$2:$T$145,$A11,'Página12'!C$2:C$145)</f>
        <v>464354.67</v>
      </c>
      <c r="D11" s="48">
        <f>SUMIF('Página12'!$T$2:$T$145,$A11,'Página12'!D$2:D$145)</f>
        <v>479000.65</v>
      </c>
      <c r="E11" s="48">
        <f>SUMIF('Página12'!$T$2:$T$145,$A11,'Página12'!E$2:E$145)</f>
        <v>464354.67</v>
      </c>
      <c r="F11" s="48">
        <f>SUMIF('Página12'!$T$2:$T$145,$A11,'Página12'!F$2:F$145)</f>
        <v>441136.97</v>
      </c>
      <c r="G11" s="48">
        <f>SUMIF('Página12'!$T$2:$T$145,$A11,'Página12'!G$2:G$145)</f>
        <v>410952.58</v>
      </c>
      <c r="H11" s="48">
        <f>SUMIF('Página12'!$T$2:$T$145,$A11,'Página12'!H$2:H$145)</f>
        <v>295788.73</v>
      </c>
      <c r="I11" s="48">
        <f>SUMIF('Página12'!$T$2:$T$145,$A11,'Página12'!I$2:I$145)</f>
        <v>315712.28</v>
      </c>
      <c r="J11" s="48">
        <f>SUMIF('Página12'!$T$2:$T$145,$A11,'Página12'!J$2:J$145)</f>
        <v>295788.73</v>
      </c>
      <c r="K11" s="48">
        <f>SUMIF('Página12'!$T$2:$T$145,$A11,'Página12'!K$2:K$145)</f>
        <v>282154.02</v>
      </c>
    </row>
    <row r="12">
      <c r="A12" s="74">
        <v>2026.0</v>
      </c>
      <c r="B12" s="48">
        <f>SUMIF('Página12'!$T$2:$T$145,$A12,'Página12'!B$2:B$145)</f>
        <v>612665.62</v>
      </c>
      <c r="C12" s="48">
        <f>SUMIF('Página12'!$T$2:$T$145,$A12,'Página12'!C$2:C$145)</f>
        <v>503597.23</v>
      </c>
      <c r="D12" s="48">
        <f>SUMIF('Página12'!$T$2:$T$145,$A12,'Página12'!D$2:D$145)</f>
        <v>522649.3</v>
      </c>
      <c r="E12" s="48">
        <f>SUMIF('Página12'!$T$2:$T$145,$A12,'Página12'!E$2:E$145)</f>
        <v>503597.23</v>
      </c>
      <c r="F12" s="48">
        <f>SUMIF('Página12'!$T$2:$T$145,$A12,'Página12'!F$2:F$145)</f>
        <v>478417.4</v>
      </c>
      <c r="G12" s="48">
        <f>SUMIF('Página12'!$T$2:$T$145,$A12,'Página12'!G$2:G$145)</f>
        <v>412619.16</v>
      </c>
      <c r="H12" s="48">
        <f>SUMIF('Página12'!$T$2:$T$145,$A12,'Página12'!H$2:H$145)</f>
        <v>318833.91</v>
      </c>
      <c r="I12" s="48">
        <f>SUMIF('Página12'!$T$2:$T$145,$A12,'Página12'!I$2:I$145)</f>
        <v>347357.55</v>
      </c>
      <c r="J12" s="48">
        <f>SUMIF('Página12'!$T$2:$T$145,$A12,'Página12'!J$2:J$145)</f>
        <v>318833.91</v>
      </c>
      <c r="K12" s="48">
        <f>SUMIF('Página12'!$T$2:$T$145,$A12,'Página12'!K$2:K$145)</f>
        <v>304046.96</v>
      </c>
    </row>
    <row r="13">
      <c r="A13" s="74">
        <v>2027.0</v>
      </c>
      <c r="B13" s="48">
        <f>SUMIF('Página12'!$T$2:$T$145,$A13,'Página12'!B$2:B$145)</f>
        <v>612665.62</v>
      </c>
      <c r="C13" s="48">
        <f>SUMIF('Página12'!$T$2:$T$145,$A13,'Página12'!C$2:C$145)</f>
        <v>514990.6</v>
      </c>
      <c r="D13" s="48">
        <f>SUMIF('Página12'!$T$2:$T$145,$A13,'Página12'!D$2:D$145)</f>
        <v>539266.93</v>
      </c>
      <c r="E13" s="48">
        <f>SUMIF('Página12'!$T$2:$T$145,$A13,'Página12'!E$2:E$145)</f>
        <v>514990.6</v>
      </c>
      <c r="F13" s="48">
        <f>SUMIF('Página12'!$T$2:$T$145,$A13,'Página12'!F$2:F$145)</f>
        <v>489241.1</v>
      </c>
      <c r="G13" s="48">
        <f>SUMIF('Página12'!$T$2:$T$145,$A13,'Página12'!G$2:G$145)</f>
        <v>412619.16</v>
      </c>
      <c r="H13" s="48">
        <f>SUMIF('Página12'!$T$2:$T$145,$A13,'Página12'!H$2:H$145)</f>
        <v>325524.66</v>
      </c>
      <c r="I13" s="48">
        <f>SUMIF('Página12'!$T$2:$T$145,$A13,'Página12'!I$2:I$145)</f>
        <v>359405.31</v>
      </c>
      <c r="J13" s="48">
        <f>SUMIF('Página12'!$T$2:$T$145,$A13,'Página12'!J$2:J$145)</f>
        <v>325524.66</v>
      </c>
      <c r="K13" s="48">
        <f>SUMIF('Página12'!$T$2:$T$145,$A13,'Página12'!K$2:K$145)</f>
        <v>310403.18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.63"/>
    <col customWidth="1" min="2" max="29" width="7.63"/>
    <col customWidth="1" min="30" max="30" width="8.88"/>
  </cols>
  <sheetData>
    <row r="1">
      <c r="A1" s="1"/>
      <c r="B1" s="2">
        <v>39630.0</v>
      </c>
      <c r="C1" s="2">
        <v>39995.0</v>
      </c>
      <c r="D1" s="2">
        <v>40057.0</v>
      </c>
      <c r="E1" s="2">
        <v>40210.0</v>
      </c>
      <c r="F1" s="2">
        <v>40360.0</v>
      </c>
      <c r="G1" s="2">
        <v>41275.0</v>
      </c>
      <c r="H1" s="2">
        <v>41640.0</v>
      </c>
      <c r="I1" s="2">
        <v>42005.0</v>
      </c>
      <c r="J1" s="2">
        <v>42583.0</v>
      </c>
      <c r="K1" s="2">
        <v>42614.0</v>
      </c>
      <c r="L1" s="2">
        <v>42734.0</v>
      </c>
      <c r="M1" s="2">
        <v>42736.0</v>
      </c>
      <c r="N1" s="2">
        <v>43101.0</v>
      </c>
      <c r="O1" s="2">
        <v>43431.0</v>
      </c>
      <c r="P1" s="2">
        <v>43466.0</v>
      </c>
      <c r="Q1" s="2">
        <v>43831.0</v>
      </c>
      <c r="R1" s="2">
        <v>44197.0</v>
      </c>
      <c r="S1" s="2">
        <v>44562.0</v>
      </c>
      <c r="T1" s="2">
        <v>44958.0</v>
      </c>
      <c r="U1" s="2">
        <v>45017.0</v>
      </c>
      <c r="V1" s="2">
        <v>45047.0</v>
      </c>
      <c r="W1" s="2">
        <v>45323.0</v>
      </c>
      <c r="X1" s="2">
        <v>45505.0</v>
      </c>
      <c r="Y1" s="2">
        <v>45658.0</v>
      </c>
      <c r="Z1" s="2">
        <v>45689.0</v>
      </c>
      <c r="AA1" s="2">
        <v>45778.0</v>
      </c>
      <c r="AB1" s="2">
        <v>46054.0</v>
      </c>
      <c r="AC1" s="2">
        <v>46143.0</v>
      </c>
      <c r="AD1" s="3">
        <v>46419.0</v>
      </c>
    </row>
    <row r="2" ht="81.0" customHeight="1">
      <c r="A2" s="4" t="s">
        <v>0</v>
      </c>
      <c r="B2" s="16">
        <f>'Página1'!B2/'Página1'!B$2</f>
        <v>1</v>
      </c>
      <c r="C2" s="16">
        <f>'Página1'!C2/'Página1'!C$2</f>
        <v>1</v>
      </c>
      <c r="D2" s="16">
        <f>'Página1'!D2/'Página1'!D$2</f>
        <v>1</v>
      </c>
      <c r="E2" s="16">
        <f>'Página1'!E2/'Página1'!E$2</f>
        <v>1</v>
      </c>
      <c r="F2" s="16">
        <f>'Página1'!F2/'Página1'!F$2</f>
        <v>1</v>
      </c>
      <c r="G2" s="16">
        <f>'Página1'!G2/'Página1'!G$2</f>
        <v>1</v>
      </c>
      <c r="H2" s="16">
        <f>'Página1'!H2/'Página1'!H$2</f>
        <v>1</v>
      </c>
      <c r="I2" s="16">
        <f>'Página1'!I2/'Página1'!I$2</f>
        <v>1</v>
      </c>
      <c r="J2" s="16">
        <f>'Página1'!J2/'Página1'!J$2</f>
        <v>1</v>
      </c>
      <c r="K2" s="16">
        <f>'Página1'!K2/'Página1'!K$2</f>
        <v>1</v>
      </c>
      <c r="L2" s="16">
        <f>'Página1'!L2/'Página1'!L$2</f>
        <v>1</v>
      </c>
      <c r="M2" s="16">
        <f>'Página1'!M2/'Página1'!M$2</f>
        <v>1</v>
      </c>
      <c r="N2" s="16">
        <f>'Página1'!N2/'Página1'!N$2</f>
        <v>1</v>
      </c>
      <c r="O2" s="16">
        <f>'Página1'!O2/'Página1'!O$2</f>
        <v>1</v>
      </c>
      <c r="P2" s="16">
        <f>'Página1'!P2/'Página1'!P$2</f>
        <v>1</v>
      </c>
      <c r="Q2" s="16">
        <f>'Página1'!Q2/'Página1'!Q$2</f>
        <v>1</v>
      </c>
      <c r="R2" s="17">
        <f>'Página1'!R2/'Página1'!R$2</f>
        <v>1</v>
      </c>
      <c r="S2" s="17">
        <f>'Página1'!S2/'Página1'!S$2</f>
        <v>1</v>
      </c>
      <c r="T2" s="16">
        <f>'Página1'!T2/'Página1'!T$2</f>
        <v>1</v>
      </c>
      <c r="U2" s="16">
        <f>'Página1'!U2/'Página1'!U$2</f>
        <v>1</v>
      </c>
      <c r="V2" s="16">
        <f>'Página1'!V2/'Página1'!V$2</f>
        <v>1</v>
      </c>
      <c r="W2" s="16">
        <f>'Página1'!W2/'Página1'!W$2</f>
        <v>1</v>
      </c>
      <c r="X2" s="16">
        <f>'Página1'!X2/'Página1'!X$2</f>
        <v>1</v>
      </c>
      <c r="Y2" s="16">
        <f>'Página1'!Y2/'Página1'!Y$2</f>
        <v>1</v>
      </c>
      <c r="Z2" s="16">
        <f>'Página1'!Z2/'Página1'!Z$2</f>
        <v>1</v>
      </c>
      <c r="AA2" s="16">
        <f>'Página1'!AA2/'Página1'!AA$2</f>
        <v>1</v>
      </c>
      <c r="AB2" s="16">
        <f>'Página1'!AB2/'Página1'!AB$2</f>
        <v>1</v>
      </c>
      <c r="AC2" s="16">
        <f>'Página1'!AC2/'Página1'!AC$2</f>
        <v>1</v>
      </c>
      <c r="AD2" s="18">
        <f>'Página1'!AD2/'Página1'!AD$2</f>
        <v>1</v>
      </c>
    </row>
    <row r="3" ht="81.0" customHeight="1">
      <c r="A3" s="4" t="s">
        <v>1</v>
      </c>
      <c r="B3" s="16">
        <f>'Página1'!B3/'Página1'!B$2</f>
        <v>0.6808163265</v>
      </c>
      <c r="C3" s="16">
        <f>'Página1'!C3/'Página1'!C$2</f>
        <v>0.7453061224</v>
      </c>
      <c r="D3" s="16">
        <f>'Página1'!D3/'Página1'!D$2</f>
        <v>0.7098153547</v>
      </c>
      <c r="E3" s="16">
        <f>'Página1'!E3/'Página1'!E$2</f>
        <v>0.6833031909</v>
      </c>
      <c r="F3" s="16">
        <f>'Página1'!F3/'Página1'!F$2</f>
        <v>0.7278713235</v>
      </c>
      <c r="G3" s="16">
        <f>'Página1'!G3/'Página1'!G$2</f>
        <v>0.7278712327</v>
      </c>
      <c r="H3" s="16">
        <f>'Página1'!H3/'Página1'!H$2</f>
        <v>0.727177999</v>
      </c>
      <c r="I3" s="16">
        <f>'Página1'!I3/'Página1'!I$2</f>
        <v>0.6669117081</v>
      </c>
      <c r="J3" s="16">
        <f>'Página1'!J3/'Página1'!J$2</f>
        <v>0.7924464651</v>
      </c>
      <c r="K3" s="16">
        <f>'Página1'!K3/'Página1'!K$2</f>
        <v>0.7924464651</v>
      </c>
      <c r="L3" s="16">
        <f>'Página1'!L3/'Página1'!L$2</f>
        <v>0.7924464651</v>
      </c>
      <c r="M3" s="16">
        <f>'Página1'!M3/'Página1'!M$2</f>
        <v>0.8472481711</v>
      </c>
      <c r="N3" s="16">
        <f>'Página1'!N3/'Página1'!N$2</f>
        <v>0.9649595711</v>
      </c>
      <c r="O3" s="16">
        <f>'Página1'!O3/'Página1'!O$2</f>
        <v>0.8439406623</v>
      </c>
      <c r="P3" s="16">
        <f>'Página1'!P3/'Página1'!P$2</f>
        <v>0.8785220999</v>
      </c>
      <c r="Q3" s="16">
        <f>'Página1'!Q3/'Página1'!Q$2</f>
        <v>0.8946482506</v>
      </c>
      <c r="R3" s="17">
        <f>'Página1'!R3/'Página1'!R$2</f>
        <v>0.9390374751</v>
      </c>
      <c r="S3" s="17">
        <f>'Página1'!S3/'Página1'!S$2</f>
        <v>0.9958514577</v>
      </c>
      <c r="T3" s="16">
        <f>'Página1'!T3/'Página1'!T$2</f>
        <v>1</v>
      </c>
      <c r="U3" s="16">
        <f>'Página1'!U3/'Página1'!U$2</f>
        <v>0.9940364053</v>
      </c>
      <c r="V3" s="16">
        <f>'Página1'!V3/'Página1'!V$2</f>
        <v>1.000000072</v>
      </c>
      <c r="W3" s="16">
        <f>'Página1'!W3/'Página1'!W$2</f>
        <v>1.000000036</v>
      </c>
      <c r="X3" s="16">
        <f>'Página1'!X3/'Página1'!X$2</f>
        <v>1</v>
      </c>
      <c r="Y3" s="16">
        <f>'Página1'!Y3/'Página1'!Y$2</f>
        <v>0.9999999171</v>
      </c>
      <c r="Z3" s="16">
        <f>'Página1'!Z3/'Página1'!Z$2</f>
        <v>1.000000015</v>
      </c>
      <c r="AA3" s="16">
        <f>'Página1'!AA3/'Página1'!AA$2</f>
        <v>1</v>
      </c>
      <c r="AB3" s="16">
        <f>'Página1'!AB3/'Página1'!AB$2</f>
        <v>1</v>
      </c>
      <c r="AC3" s="16">
        <f>'Página1'!AC3/'Página1'!AC$2</f>
        <v>1.000000056</v>
      </c>
      <c r="AD3" s="18">
        <f>'Página1'!AD3/'Página1'!AD$2</f>
        <v>0.9999999621</v>
      </c>
    </row>
    <row r="4" ht="81.0" customHeight="1">
      <c r="A4" s="4" t="s">
        <v>2</v>
      </c>
      <c r="B4" s="16">
        <f>'Página1'!B4/'Página1'!B$2</f>
        <v>0.6808163265</v>
      </c>
      <c r="C4" s="16">
        <f>'Página1'!C4/'Página1'!C$2</f>
        <v>0.7453061224</v>
      </c>
      <c r="D4" s="16">
        <f>'Página1'!D4/'Página1'!D$2</f>
        <v>0.7098153547</v>
      </c>
      <c r="E4" s="16">
        <f>'Página1'!E4/'Página1'!E$2</f>
        <v>0.6833031909</v>
      </c>
      <c r="F4" s="16">
        <f>'Página1'!F4/'Página1'!F$2</f>
        <v>0.7278713235</v>
      </c>
      <c r="G4" s="16">
        <f>'Página1'!G4/'Página1'!G$2</f>
        <v>0.7278712327</v>
      </c>
      <c r="H4" s="16">
        <f>'Página1'!H4/'Página1'!H$2</f>
        <v>0.7264849087</v>
      </c>
      <c r="I4" s="16">
        <f>'Página1'!I4/'Página1'!I$2</f>
        <v>0.666909931</v>
      </c>
      <c r="J4" s="16">
        <f>'Página1'!J4/'Página1'!J$2</f>
        <v>0.666909931</v>
      </c>
      <c r="K4" s="16">
        <f>'Página1'!K4/'Página1'!K$2</f>
        <v>0.7557645944</v>
      </c>
      <c r="L4" s="16">
        <f>'Página1'!L4/'Página1'!L$2</f>
        <v>0.792444688</v>
      </c>
      <c r="M4" s="16">
        <f>'Página1'!M4/'Página1'!M$2</f>
        <v>0.8276240263</v>
      </c>
      <c r="N4" s="16">
        <f>'Página1'!N4/'Página1'!N$2</f>
        <v>0.8627156947</v>
      </c>
      <c r="O4" s="16">
        <f>'Página1'!O4/'Página1'!O$2</f>
        <v>0.7412931879</v>
      </c>
      <c r="P4" s="16">
        <f>'Página1'!P4/'Página1'!P$2</f>
        <v>0.7712155654</v>
      </c>
      <c r="Q4" s="16">
        <f>'Página1'!Q4/'Página1'!Q$2</f>
        <v>0.7712155654</v>
      </c>
      <c r="R4" s="17">
        <f>'Página1'!R4/'Página1'!R$2</f>
        <v>0.7712155654</v>
      </c>
      <c r="S4" s="17">
        <f>'Página1'!S4/'Página1'!S$2</f>
        <v>0.7712155654</v>
      </c>
      <c r="T4" s="16">
        <f>'Página1'!T4/'Página1'!T$2</f>
        <v>0.7712155654</v>
      </c>
      <c r="U4" s="16">
        <f>'Página1'!U4/'Página1'!U$2</f>
        <v>0.7275618541</v>
      </c>
      <c r="V4" s="16">
        <f>'Página1'!V4/'Página1'!V$2</f>
        <v>0.7865599559</v>
      </c>
      <c r="W4" s="16">
        <f>'Página1'!W4/'Página1'!W$2</f>
        <v>0.7785072355</v>
      </c>
      <c r="X4" s="16">
        <f>'Página1'!X4/'Página1'!X$2</f>
        <v>0.7898686436</v>
      </c>
      <c r="Y4" s="16">
        <f>'Página1'!Y4/'Página1'!Y$2</f>
        <v>0.8203000862</v>
      </c>
      <c r="Z4" s="16">
        <f>'Página1'!Z4/'Página1'!Z$2</f>
        <v>0.8217235573</v>
      </c>
      <c r="AA4" s="16">
        <f>'Página1'!AA4/'Página1'!AA$2</f>
        <v>0.8217235447</v>
      </c>
      <c r="AB4" s="16">
        <f>'Página1'!AB4/'Página1'!AB$2</f>
        <v>0.9187770227</v>
      </c>
      <c r="AC4" s="16">
        <f>'Página1'!AC4/'Página1'!AC$2</f>
        <v>0.9489608387</v>
      </c>
      <c r="AD4" s="18">
        <f>'Página1'!AD4/'Página1'!AD$2</f>
        <v>0.8939688342</v>
      </c>
    </row>
    <row r="5" ht="81.0" customHeight="1">
      <c r="A5" s="4" t="s">
        <v>3</v>
      </c>
      <c r="B5" s="16">
        <f>'Página1'!B5/'Página1'!B$2</f>
        <v>0.7776967347</v>
      </c>
      <c r="C5" s="16">
        <f>'Página1'!C5/'Página1'!C$2</f>
        <v>0.8040742857</v>
      </c>
      <c r="D5" s="16">
        <f>'Página1'!D5/'Página1'!D$2</f>
        <v>0.765785034</v>
      </c>
      <c r="E5" s="16">
        <f>'Página1'!E5/'Página1'!E$2</f>
        <v>0.7371823585</v>
      </c>
      <c r="F5" s="16">
        <f>'Página1'!F5/'Página1'!F$2</f>
        <v>0.7371823585</v>
      </c>
      <c r="G5" s="16">
        <f>'Página1'!G5/'Página1'!G$2</f>
        <v>0.7371822309</v>
      </c>
      <c r="H5" s="16">
        <f>'Página1'!H5/'Página1'!H$2</f>
        <v>0.7371823265</v>
      </c>
      <c r="I5" s="16">
        <f>'Página1'!I5/'Página1'!I$2</f>
        <v>0.6754435329</v>
      </c>
      <c r="J5" s="16">
        <f>'Página1'!J5/'Página1'!J$2</f>
        <v>0.6754435329</v>
      </c>
      <c r="K5" s="16">
        <f>'Página1'!K5/'Página1'!K$2</f>
        <v>0.6754435329</v>
      </c>
      <c r="L5" s="16">
        <f>'Página1'!L5/'Página1'!L$2</f>
        <v>0.6754435329</v>
      </c>
      <c r="M5" s="16">
        <f>'Página1'!M5/'Página1'!M$2</f>
        <v>0.8370772739</v>
      </c>
      <c r="N5" s="16">
        <f>'Página1'!N5/'Página1'!N$2</f>
        <v>0.8768385511</v>
      </c>
      <c r="O5" s="16">
        <f>'Página1'!O5/'Página1'!O$2</f>
        <v>0.7534283296</v>
      </c>
      <c r="P5" s="16">
        <f>'Página1'!P5/'Página1'!P$2</f>
        <v>0.7873325542</v>
      </c>
      <c r="Q5" s="16">
        <f>'Página1'!Q5/'Página1'!Q$2</f>
        <v>0.7873325542</v>
      </c>
      <c r="R5" s="17">
        <f>'Página1'!R5/'Página1'!R$2</f>
        <v>0.7873325542</v>
      </c>
      <c r="S5" s="17">
        <f>'Página1'!S5/'Página1'!S$2</f>
        <v>0.7873325542</v>
      </c>
      <c r="T5" s="16">
        <f>'Página1'!T5/'Página1'!T$2</f>
        <v>0.7873325542</v>
      </c>
      <c r="U5" s="16">
        <f>'Página1'!U5/'Página1'!U$2</f>
        <v>0.7427665606</v>
      </c>
      <c r="V5" s="16">
        <f>'Página1'!V5/'Página1'!V$2</f>
        <v>0.8096155355</v>
      </c>
      <c r="W5" s="16">
        <f>'Página1'!W5/'Página1'!W$2</f>
        <v>0.7662432462</v>
      </c>
      <c r="X5" s="16">
        <f>'Página1'!X5/'Página1'!X$2</f>
        <v>0.7892305149</v>
      </c>
      <c r="Y5" s="16">
        <f>'Página1'!Y5/'Página1'!Y$2</f>
        <v>0.7892305854</v>
      </c>
      <c r="Z5" s="16">
        <f>'Página1'!Z5/'Página1'!Z$2</f>
        <v>0.7490990857</v>
      </c>
      <c r="AA5" s="16">
        <f>'Página1'!AA5/'Página1'!AA$2</f>
        <v>0.7865540278</v>
      </c>
      <c r="AB5" s="16">
        <f>'Página1'!AB5/'Página1'!AB$2</f>
        <v>0.7865539524</v>
      </c>
      <c r="AC5" s="16">
        <f>'Página1'!AC5/'Página1'!AC$2</f>
        <v>0.8918136258</v>
      </c>
      <c r="AD5" s="18">
        <f>'Página1'!AD5/'Página1'!AD$2</f>
        <v>0.832517562</v>
      </c>
    </row>
    <row r="6" ht="81.0" customHeight="1">
      <c r="A6" s="4" t="s">
        <v>4</v>
      </c>
      <c r="B6" s="19">
        <f>'Página1'!B6/'Página1'!B$2</f>
        <v>0.6808163265</v>
      </c>
      <c r="C6" s="19">
        <f>'Página1'!C6/'Página1'!C$2</f>
        <v>0.7453061224</v>
      </c>
      <c r="D6" s="19">
        <f>'Página1'!D6/'Página1'!D$2</f>
        <v>0.7098153547</v>
      </c>
      <c r="E6" s="19">
        <f>'Página1'!E6/'Página1'!E$2</f>
        <v>0.6833031909</v>
      </c>
      <c r="F6" s="19">
        <f>'Página1'!F6/'Página1'!F$2</f>
        <v>0.7278713235</v>
      </c>
      <c r="G6" s="20">
        <f>'Página1'!G6/'Página1'!G$2</f>
        <v>0.7278712327</v>
      </c>
      <c r="H6" s="20">
        <f>'Página1'!H6/'Página1'!H$2</f>
        <v>0.7264849087</v>
      </c>
      <c r="I6" s="20">
        <f>'Página1'!I6/'Página1'!I$2</f>
        <v>0.666909931</v>
      </c>
      <c r="J6" s="20">
        <f>'Página1'!J6/'Página1'!J$2</f>
        <v>0.666909931</v>
      </c>
      <c r="K6" s="20">
        <f>'Página1'!K6/'Página1'!K$2</f>
        <v>0.7557645944</v>
      </c>
      <c r="L6" s="20">
        <f>'Página1'!L6/'Página1'!L$2</f>
        <v>0.792444688</v>
      </c>
      <c r="M6" s="20">
        <f>'Página1'!M6/'Página1'!M$2</f>
        <v>0.8276240263</v>
      </c>
      <c r="N6" s="20">
        <f>'Página1'!N6/'Página1'!N$2</f>
        <v>0.8627156947</v>
      </c>
      <c r="O6" s="20">
        <f>'Página1'!O6/'Página1'!O$2</f>
        <v>0.7412931879</v>
      </c>
      <c r="P6" s="20">
        <f>'Página1'!P6/'Página1'!P$2</f>
        <v>0.7712155654</v>
      </c>
      <c r="Q6" s="20">
        <f>'Página1'!Q6/'Página1'!Q$2</f>
        <v>0.7712155654</v>
      </c>
      <c r="R6" s="20">
        <f>'Página1'!R6/'Página1'!R$2</f>
        <v>0.7712155654</v>
      </c>
      <c r="S6" s="20">
        <f>'Página1'!S6/'Página1'!S$2</f>
        <v>0.7712155654</v>
      </c>
      <c r="T6" s="20">
        <f>'Página1'!T6/'Página1'!T$2</f>
        <v>0.7712155654</v>
      </c>
      <c r="U6" s="20">
        <f>'Página1'!U6/'Página1'!U$2</f>
        <v>0.7275618541</v>
      </c>
      <c r="V6" s="20">
        <f>'Página1'!V6/'Página1'!V$2</f>
        <v>0.7865599559</v>
      </c>
      <c r="W6" s="20">
        <f>'Página1'!W6/'Página1'!W$2</f>
        <v>0.7444229252</v>
      </c>
      <c r="X6" s="20">
        <f>'Página1'!X6/'Página1'!X$2</f>
        <v>0.7444228981</v>
      </c>
      <c r="Y6" s="20">
        <f>'Página1'!Y6/'Página1'!Y$2</f>
        <v>0.7748543407</v>
      </c>
      <c r="Z6" s="20">
        <f>'Página1'!Z6/'Página1'!Z$2</f>
        <v>0.7354537978</v>
      </c>
      <c r="AA6" s="20">
        <f>'Página1'!AA6/'Página1'!AA$2</f>
        <v>0.7354537865</v>
      </c>
      <c r="AB6" s="20">
        <f>'Página1'!AB6/'Página1'!AB$2</f>
        <v>0.7354537865</v>
      </c>
      <c r="AC6" s="20">
        <f>'Página1'!AC6/'Página1'!AC$2</f>
        <v>0.7656376025</v>
      </c>
      <c r="AD6" s="21">
        <f>'Página1'!AD6/'Página1'!AD$2</f>
        <v>0.7147313264</v>
      </c>
    </row>
    <row r="7" ht="81.0" customHeight="1">
      <c r="A7" s="4" t="s">
        <v>5</v>
      </c>
      <c r="B7" s="19">
        <f>'Página1'!B7/'Página1'!B$2</f>
        <v>0.5923102041</v>
      </c>
      <c r="C7" s="19">
        <f>'Página1'!C7/'Página1'!C$2</f>
        <v>0.7080408163</v>
      </c>
      <c r="D7" s="19">
        <f>'Página1'!D7/'Página1'!D$2</f>
        <v>0.674324587</v>
      </c>
      <c r="E7" s="19">
        <f>'Página1'!E7/'Página1'!E$2</f>
        <v>0.6491380314</v>
      </c>
      <c r="F7" s="19">
        <f>'Página1'!F7/'Página1'!F$2</f>
        <v>0.6914777573</v>
      </c>
      <c r="G7" s="20">
        <f>'Página1'!G7/'Página1'!G$2</f>
        <v>0.6914775819</v>
      </c>
      <c r="H7" s="20">
        <f>'Página1'!H7/'Página1'!H$2</f>
        <v>0.6908192687</v>
      </c>
      <c r="I7" s="20">
        <f>'Página1'!I7/'Página1'!I$2</f>
        <v>0.63356633</v>
      </c>
      <c r="J7" s="20">
        <f>'Página1'!J7/'Página1'!J$2</f>
        <v>0.6684124633</v>
      </c>
      <c r="K7" s="20">
        <f>'Página1'!K7/'Página1'!K$2</f>
        <v>0.6684124633</v>
      </c>
      <c r="L7" s="20">
        <f>'Página1'!L7/'Página1'!L$2</f>
        <v>0.6684124633</v>
      </c>
      <c r="M7" s="20">
        <f>'Página1'!M7/'Página1'!M$2</f>
        <v>0.7150626425</v>
      </c>
      <c r="N7" s="20">
        <f>'Página1'!N7/'Página1'!N$2</f>
        <v>0.7625391701</v>
      </c>
      <c r="O7" s="20">
        <f>'Página1'!O7/'Página1'!O$2</f>
        <v>0.6552159602</v>
      </c>
      <c r="P7" s="20">
        <f>'Página1'!P7/'Página1'!P$2</f>
        <v>0.6965476575</v>
      </c>
      <c r="Q7" s="20">
        <f>'Página1'!Q7/'Página1'!Q$2</f>
        <v>0.6965476575</v>
      </c>
      <c r="R7" s="20">
        <f>'Página1'!R7/'Página1'!R$2</f>
        <v>0.6965476575</v>
      </c>
      <c r="S7" s="20">
        <f>'Página1'!S7/'Página1'!S$2</f>
        <v>0.6965476575</v>
      </c>
      <c r="T7" s="20">
        <f>'Página1'!T7/'Página1'!T$2</f>
        <v>0.6965476575</v>
      </c>
      <c r="U7" s="20">
        <f>'Página1'!U7/'Página1'!U$2</f>
        <v>0.6571204316</v>
      </c>
      <c r="V7" s="20">
        <f>'Página1'!V7/'Página1'!V$2</f>
        <v>0.7162612567</v>
      </c>
      <c r="W7" s="20">
        <f>'Página1'!W7/'Página1'!W$2</f>
        <v>0.6778901241</v>
      </c>
      <c r="X7" s="20">
        <f>'Página1'!X7/'Página1'!X$2</f>
        <v>0.6778900995</v>
      </c>
      <c r="Y7" s="20">
        <f>'Página1'!Y7/'Página1'!Y$2</f>
        <v>0.7518112402</v>
      </c>
      <c r="Z7" s="20">
        <f>'Página1'!Z7/'Página1'!Z$2</f>
        <v>0.7135824727</v>
      </c>
      <c r="AA7" s="20">
        <f>'Página1'!AA7/'Página1'!AA$2</f>
        <v>0.7135824617</v>
      </c>
      <c r="AB7" s="20">
        <f>'Página1'!AB7/'Página1'!AB$2</f>
        <v>0.7135824617</v>
      </c>
      <c r="AC7" s="20">
        <f>'Página1'!AC7/'Página1'!AC$2</f>
        <v>0.7913956271</v>
      </c>
      <c r="AD7" s="21">
        <f>'Página1'!AD7/'Página1'!AD$2</f>
        <v>0.7387762859</v>
      </c>
    </row>
    <row r="8">
      <c r="A8" s="1"/>
      <c r="B8" s="13" t="s">
        <v>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>
      <c r="A9" s="1"/>
      <c r="B9" s="15" t="s">
        <v>7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</sheetData>
  <conditionalFormatting sqref="B2:B7">
    <cfRule type="colorScale" priority="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Q2:Q7">
    <cfRule type="colorScale" priority="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U2:U7">
    <cfRule type="colorScale" priority="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C2:AC7">
    <cfRule type="colorScale" priority="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C2:C7">
    <cfRule type="colorScale" priority="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D2:D7">
    <cfRule type="colorScale" priority="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G2:G7">
    <cfRule type="colorScale" priority="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H2:H7">
    <cfRule type="colorScale" priority="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N2:N7">
    <cfRule type="colorScale" priority="1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P2:P7">
    <cfRule type="colorScale" priority="1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V2:V7">
    <cfRule type="colorScale" priority="1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W2:W7">
    <cfRule type="colorScale" priority="1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X2:X7">
    <cfRule type="colorScale" priority="1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Z2:Z7">
    <cfRule type="colorScale" priority="1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A2:AA7">
    <cfRule type="colorScale" priority="1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B2:AB7">
    <cfRule type="colorScale" priority="1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D2:AD7">
    <cfRule type="colorScale" priority="2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:E7">
    <cfRule type="colorScale" priority="2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F2:F7">
    <cfRule type="colorScale" priority="2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O2:O7">
    <cfRule type="colorScale" priority="2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M2:M7">
    <cfRule type="colorScale" priority="2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L2:L7">
    <cfRule type="colorScale" priority="2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R2:R7">
    <cfRule type="colorScale" priority="2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S2:S7">
    <cfRule type="colorScale" priority="2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T2:T7">
    <cfRule type="colorScale" priority="2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Y2:Y7">
    <cfRule type="colorScale" priority="2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1">
    <cfRule type="notContainsBlanks" dxfId="0" priority="30">
      <formula>LEN(TRIM(A1))&gt;0</formula>
    </cfRule>
  </conditionalFormatting>
  <hyperlinks>
    <hyperlink r:id="rId2" ref="B9"/>
  </hyperlinks>
  <drawing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4" width="11.38"/>
    <col customWidth="1" min="5" max="5" width="15.75"/>
  </cols>
  <sheetData>
    <row r="1">
      <c r="A1" s="32" t="s">
        <v>97</v>
      </c>
      <c r="B1" s="33" t="s">
        <v>104</v>
      </c>
      <c r="C1" s="33" t="s">
        <v>105</v>
      </c>
      <c r="D1" s="33" t="s">
        <v>106</v>
      </c>
      <c r="E1" s="32" t="s">
        <v>101</v>
      </c>
    </row>
    <row r="2">
      <c r="A2" s="74">
        <v>2016.0</v>
      </c>
      <c r="B2" s="75">
        <f>'Página28'!F2</f>
        <v>292658.37</v>
      </c>
      <c r="C2" s="75">
        <f>'Página28'!D2</f>
        <v>314616.66</v>
      </c>
      <c r="D2" s="75">
        <f>'Página28'!B2</f>
        <v>325160.44</v>
      </c>
      <c r="E2" s="77" t="s">
        <v>116</v>
      </c>
    </row>
    <row r="3">
      <c r="A3" s="74">
        <v>2017.0</v>
      </c>
      <c r="B3" s="75">
        <f>'Página28'!F3</f>
        <v>321894.09</v>
      </c>
      <c r="C3" s="75">
        <f>'Página28'!D3</f>
        <v>368565.05</v>
      </c>
      <c r="D3" s="75">
        <f>'Página28'!B3</f>
        <v>376515.79</v>
      </c>
      <c r="E3" s="77" t="str">
        <f t="shared" ref="E3:E13" si="1">E2</f>
        <v>Real (bruto)</v>
      </c>
    </row>
    <row r="4">
      <c r="A4" s="74">
        <v>2018.0</v>
      </c>
      <c r="B4" s="75">
        <f>'Página28'!F4</f>
        <v>343266.22</v>
      </c>
      <c r="C4" s="75">
        <f>'Página28'!D4</f>
        <v>384361.99</v>
      </c>
      <c r="D4" s="75">
        <f>'Página28'!B4</f>
        <v>427006.31</v>
      </c>
      <c r="E4" s="77" t="str">
        <f t="shared" si="1"/>
        <v>Real (bruto)</v>
      </c>
    </row>
    <row r="5">
      <c r="A5" s="74">
        <v>2019.0</v>
      </c>
      <c r="B5" s="75">
        <f>'Página28'!F5</f>
        <v>364919.81</v>
      </c>
      <c r="C5" s="75">
        <f>'Página28'!D5</f>
        <v>400038.27</v>
      </c>
      <c r="D5" s="75">
        <f>'Página28'!B5</f>
        <v>450634.33</v>
      </c>
      <c r="E5" s="77" t="str">
        <f t="shared" si="1"/>
        <v>Real (bruto)</v>
      </c>
    </row>
    <row r="6">
      <c r="A6" s="74">
        <v>2020.0</v>
      </c>
      <c r="B6" s="75">
        <f>'Página28'!F6</f>
        <v>364919.81</v>
      </c>
      <c r="C6" s="75">
        <f>'Página28'!D6</f>
        <v>400038.27</v>
      </c>
      <c r="D6" s="75">
        <f>'Página28'!B6</f>
        <v>461202.93</v>
      </c>
      <c r="E6" s="77" t="str">
        <f t="shared" si="1"/>
        <v>Real (bruto)</v>
      </c>
    </row>
    <row r="7">
      <c r="A7" s="74">
        <v>2021.0</v>
      </c>
      <c r="B7" s="75">
        <f>'Página28'!F7</f>
        <v>364919.81</v>
      </c>
      <c r="C7" s="75">
        <f>'Página28'!D7</f>
        <v>400038.27</v>
      </c>
      <c r="D7" s="75">
        <f>'Página28'!B7</f>
        <v>479167.75</v>
      </c>
      <c r="E7" s="77" t="str">
        <f t="shared" si="1"/>
        <v>Real (bruto)</v>
      </c>
    </row>
    <row r="8">
      <c r="A8" s="74">
        <v>2022.0</v>
      </c>
      <c r="B8" s="75">
        <f>'Página28'!F8</f>
        <v>364919.81</v>
      </c>
      <c r="C8" s="75">
        <f>'Página28'!D8</f>
        <v>400038.27</v>
      </c>
      <c r="D8" s="75">
        <f>'Página28'!B8</f>
        <v>517782.39</v>
      </c>
      <c r="E8" s="77" t="str">
        <f t="shared" si="1"/>
        <v>Real (bruto)</v>
      </c>
    </row>
    <row r="9">
      <c r="A9" s="74">
        <v>2023.0</v>
      </c>
      <c r="B9" s="75">
        <f>'Página28'!F9</f>
        <v>387909.51</v>
      </c>
      <c r="C9" s="75">
        <f>'Página28'!D9</f>
        <v>422972.53</v>
      </c>
      <c r="D9" s="75">
        <f>'Página28'!B9</f>
        <v>543982.39</v>
      </c>
      <c r="E9" s="77" t="str">
        <f t="shared" si="1"/>
        <v>Real (bruto)</v>
      </c>
    </row>
    <row r="10">
      <c r="A10" s="74">
        <v>2024.0</v>
      </c>
      <c r="B10" s="75">
        <f>'Página28'!F10</f>
        <v>397762.59</v>
      </c>
      <c r="C10" s="75">
        <f>'Página28'!D10</f>
        <v>452301.25</v>
      </c>
      <c r="D10" s="75">
        <f>'Página28'!B10</f>
        <v>579717.99</v>
      </c>
      <c r="E10" s="77" t="str">
        <f t="shared" si="1"/>
        <v>Real (bruto)</v>
      </c>
    </row>
    <row r="11">
      <c r="A11" s="74">
        <v>2025.0</v>
      </c>
      <c r="B11" s="75">
        <f>'Página28'!F11</f>
        <v>441136.97</v>
      </c>
      <c r="C11" s="75">
        <f>'Página28'!D11</f>
        <v>479000.65</v>
      </c>
      <c r="D11" s="75">
        <f>'Página28'!B11</f>
        <v>610366.89</v>
      </c>
      <c r="E11" s="77" t="str">
        <f t="shared" si="1"/>
        <v>Real (bruto)</v>
      </c>
    </row>
    <row r="12">
      <c r="A12" s="74">
        <v>2026.0</v>
      </c>
      <c r="B12" s="75">
        <f>'Página28'!F12</f>
        <v>478417.4</v>
      </c>
      <c r="C12" s="75">
        <f>'Página28'!D12</f>
        <v>522649.3</v>
      </c>
      <c r="D12" s="75">
        <f>'Página28'!B12</f>
        <v>612665.62</v>
      </c>
      <c r="E12" s="77" t="str">
        <f t="shared" si="1"/>
        <v>Real (bruto)</v>
      </c>
    </row>
    <row r="13">
      <c r="A13" s="74">
        <v>2027.0</v>
      </c>
      <c r="B13" s="75">
        <f>'Página28'!F13</f>
        <v>489241.1</v>
      </c>
      <c r="C13" s="75">
        <f>'Página28'!D13</f>
        <v>539266.93</v>
      </c>
      <c r="D13" s="75">
        <f>'Página28'!B13</f>
        <v>612665.62</v>
      </c>
      <c r="E13" s="77" t="str">
        <f t="shared" si="1"/>
        <v>Real (bruto)</v>
      </c>
    </row>
    <row r="14">
      <c r="A14" s="74">
        <f t="shared" ref="A14:A49" si="2">A2</f>
        <v>2016</v>
      </c>
      <c r="B14" s="83">
        <f>'Página28'!K2</f>
        <v>200429.01</v>
      </c>
      <c r="C14" s="83">
        <f>'Página28'!I2</f>
        <v>215745.83</v>
      </c>
      <c r="D14" s="83">
        <f>'Página28'!G2</f>
        <v>222764.63</v>
      </c>
      <c r="E14" s="78" t="s">
        <v>117</v>
      </c>
    </row>
    <row r="15">
      <c r="A15" s="74">
        <f t="shared" si="2"/>
        <v>2017</v>
      </c>
      <c r="B15" s="83">
        <f>'Página28'!K3</f>
        <v>219293.33</v>
      </c>
      <c r="C15" s="83">
        <f>'Página28'!I3</f>
        <v>252278.64</v>
      </c>
      <c r="D15" s="83">
        <f>'Página28'!G3</f>
        <v>258042.88</v>
      </c>
      <c r="E15" s="78" t="str">
        <f t="shared" ref="E15:E25" si="3">E14</f>
        <v>Real (líquido)</v>
      </c>
    </row>
    <row r="16">
      <c r="A16" s="74">
        <f t="shared" si="2"/>
        <v>2018</v>
      </c>
      <c r="B16" s="83">
        <f>'Página28'!K4</f>
        <v>233083.65</v>
      </c>
      <c r="C16" s="83">
        <f>'Página28'!I4</f>
        <v>262471.69</v>
      </c>
      <c r="D16" s="83">
        <f>'Página28'!G4</f>
        <v>293388.78</v>
      </c>
      <c r="E16" s="78" t="str">
        <f t="shared" si="3"/>
        <v>Real (líquido)</v>
      </c>
    </row>
    <row r="17">
      <c r="A17" s="74">
        <f t="shared" si="2"/>
        <v>2019</v>
      </c>
      <c r="B17" s="83">
        <f>'Página28'!K5</f>
        <v>247055.7</v>
      </c>
      <c r="C17" s="83">
        <f>'Página28'!I5</f>
        <v>272586.78</v>
      </c>
      <c r="D17" s="83">
        <f>'Página28'!G5</f>
        <v>309268.8</v>
      </c>
      <c r="E17" s="78" t="str">
        <f t="shared" si="3"/>
        <v>Real (líquido)</v>
      </c>
    </row>
    <row r="18">
      <c r="A18" s="74">
        <f t="shared" si="2"/>
        <v>2020</v>
      </c>
      <c r="B18" s="83">
        <f>'Página28'!K6</f>
        <v>236484.15</v>
      </c>
      <c r="C18" s="83">
        <f>'Página28'!I6</f>
        <v>262058.66</v>
      </c>
      <c r="D18" s="83">
        <f>'Página28'!G6</f>
        <v>306402.98</v>
      </c>
      <c r="E18" s="78" t="str">
        <f t="shared" si="3"/>
        <v>Real (líquido)</v>
      </c>
    </row>
    <row r="19">
      <c r="A19" s="74">
        <f t="shared" si="2"/>
        <v>2021</v>
      </c>
      <c r="B19" s="83">
        <f>'Página28'!K7</f>
        <v>235093.72</v>
      </c>
      <c r="C19" s="83">
        <f>'Página28'!I7</f>
        <v>260675.89</v>
      </c>
      <c r="D19" s="83">
        <f>'Página28'!G7</f>
        <v>318044.7</v>
      </c>
      <c r="E19" s="78" t="str">
        <f t="shared" si="3"/>
        <v>Real (líquido)</v>
      </c>
    </row>
    <row r="20">
      <c r="A20" s="74">
        <f t="shared" si="2"/>
        <v>2022</v>
      </c>
      <c r="B20" s="83">
        <f>'Página28'!K8</f>
        <v>236028.76</v>
      </c>
      <c r="C20" s="83">
        <f>'Página28'!I8</f>
        <v>261610.93</v>
      </c>
      <c r="D20" s="83">
        <f>'Página28'!G8</f>
        <v>346975.33</v>
      </c>
      <c r="E20" s="78" t="str">
        <f t="shared" si="3"/>
        <v>Real (líquido)</v>
      </c>
    </row>
    <row r="21">
      <c r="A21" s="74">
        <f t="shared" si="2"/>
        <v>2023</v>
      </c>
      <c r="B21" s="83">
        <f>'Página28'!K9</f>
        <v>250280.61</v>
      </c>
      <c r="C21" s="83">
        <f>'Página28'!I9</f>
        <v>275830.28</v>
      </c>
      <c r="D21" s="83">
        <f>'Página28'!G9</f>
        <v>363562.26</v>
      </c>
      <c r="E21" s="78" t="str">
        <f t="shared" si="3"/>
        <v>Real (líquido)</v>
      </c>
    </row>
    <row r="22">
      <c r="A22" s="74">
        <f t="shared" si="2"/>
        <v>2024</v>
      </c>
      <c r="B22" s="83">
        <f>'Página28'!K10</f>
        <v>256671.47</v>
      </c>
      <c r="C22" s="83">
        <f>'Página28'!I10</f>
        <v>296344.17</v>
      </c>
      <c r="D22" s="83">
        <f>'Página28'!G10</f>
        <v>388721.08</v>
      </c>
      <c r="E22" s="78" t="str">
        <f t="shared" si="3"/>
        <v>Real (líquido)</v>
      </c>
    </row>
    <row r="23">
      <c r="A23" s="74">
        <f t="shared" si="2"/>
        <v>2025</v>
      </c>
      <c r="B23" s="83">
        <f>'Página28'!K11</f>
        <v>282154.02</v>
      </c>
      <c r="C23" s="83">
        <f>'Página28'!I11</f>
        <v>315712.28</v>
      </c>
      <c r="D23" s="83">
        <f>'Página28'!G11</f>
        <v>410952.58</v>
      </c>
      <c r="E23" s="78" t="str">
        <f t="shared" si="3"/>
        <v>Real (líquido)</v>
      </c>
    </row>
    <row r="24">
      <c r="A24" s="74">
        <f t="shared" si="2"/>
        <v>2026</v>
      </c>
      <c r="B24" s="83">
        <f>'Página28'!K12</f>
        <v>304046.96</v>
      </c>
      <c r="C24" s="83">
        <f>'Página28'!I12</f>
        <v>347357.55</v>
      </c>
      <c r="D24" s="83">
        <f>'Página28'!G12</f>
        <v>412619.16</v>
      </c>
      <c r="E24" s="78" t="str">
        <f t="shared" si="3"/>
        <v>Real (líquido)</v>
      </c>
    </row>
    <row r="25">
      <c r="A25" s="74">
        <f t="shared" si="2"/>
        <v>2027</v>
      </c>
      <c r="B25" s="83">
        <f>'Página28'!K13</f>
        <v>310403.18</v>
      </c>
      <c r="C25" s="83">
        <f>'Página28'!I13</f>
        <v>359405.31</v>
      </c>
      <c r="D25" s="83">
        <f>'Página28'!G13</f>
        <v>412619.16</v>
      </c>
      <c r="E25" s="78" t="str">
        <f t="shared" si="3"/>
        <v>Real (líquido)</v>
      </c>
    </row>
    <row r="26">
      <c r="A26" s="74">
        <f t="shared" si="2"/>
        <v>2016</v>
      </c>
      <c r="B26" s="75">
        <f>'Página28'!F2</f>
        <v>292658.37</v>
      </c>
      <c r="C26" s="75">
        <f>'Página28'!E2</f>
        <v>308061.47</v>
      </c>
      <c r="D26" s="75">
        <f>'Página28'!C2</f>
        <v>308061.47</v>
      </c>
      <c r="E26" s="77" t="s">
        <v>118</v>
      </c>
    </row>
    <row r="27">
      <c r="A27" s="74">
        <f t="shared" si="2"/>
        <v>2017</v>
      </c>
      <c r="B27" s="75">
        <f>'Página28'!F3</f>
        <v>321894.09</v>
      </c>
      <c r="C27" s="75">
        <f>'Página28'!E3</f>
        <v>338835.92</v>
      </c>
      <c r="D27" s="75">
        <f>'Página28'!C3</f>
        <v>338835.92</v>
      </c>
      <c r="E27" s="77" t="str">
        <f t="shared" ref="E27:E37" si="4">E26</f>
        <v>Ideal (bruto)</v>
      </c>
    </row>
    <row r="28">
      <c r="A28" s="74">
        <f t="shared" si="2"/>
        <v>2018</v>
      </c>
      <c r="B28" s="75">
        <f>'Página28'!F4</f>
        <v>343266.22</v>
      </c>
      <c r="C28" s="75">
        <f>'Página28'!E4</f>
        <v>361332.84</v>
      </c>
      <c r="D28" s="75">
        <f>'Página28'!C4</f>
        <v>361332.84</v>
      </c>
      <c r="E28" s="77" t="str">
        <f t="shared" si="4"/>
        <v>Ideal (bruto)</v>
      </c>
    </row>
    <row r="29">
      <c r="A29" s="74">
        <f t="shared" si="2"/>
        <v>2019</v>
      </c>
      <c r="B29" s="75">
        <f>'Página28'!F5</f>
        <v>364919.81</v>
      </c>
      <c r="C29" s="75">
        <f>'Página28'!E5</f>
        <v>384126.13</v>
      </c>
      <c r="D29" s="75">
        <f>'Página28'!C5</f>
        <v>384126.13</v>
      </c>
      <c r="E29" s="77" t="str">
        <f t="shared" si="4"/>
        <v>Ideal (bruto)</v>
      </c>
    </row>
    <row r="30">
      <c r="A30" s="74">
        <f t="shared" si="2"/>
        <v>2020</v>
      </c>
      <c r="B30" s="75">
        <f>'Página28'!F6</f>
        <v>364919.81</v>
      </c>
      <c r="C30" s="75">
        <f>'Página28'!E6</f>
        <v>384126.13</v>
      </c>
      <c r="D30" s="75">
        <f>'Página28'!C6</f>
        <v>384126.13</v>
      </c>
      <c r="E30" s="77" t="str">
        <f t="shared" si="4"/>
        <v>Ideal (bruto)</v>
      </c>
    </row>
    <row r="31">
      <c r="A31" s="74">
        <f t="shared" si="2"/>
        <v>2021</v>
      </c>
      <c r="B31" s="75">
        <f>'Página28'!F7</f>
        <v>364919.81</v>
      </c>
      <c r="C31" s="75">
        <f>'Página28'!E7</f>
        <v>384126.13</v>
      </c>
      <c r="D31" s="75">
        <f>'Página28'!C7</f>
        <v>384126.13</v>
      </c>
      <c r="E31" s="77" t="str">
        <f t="shared" si="4"/>
        <v>Ideal (bruto)</v>
      </c>
    </row>
    <row r="32">
      <c r="A32" s="74">
        <f t="shared" si="2"/>
        <v>2022</v>
      </c>
      <c r="B32" s="75">
        <f>'Página28'!F8</f>
        <v>364919.81</v>
      </c>
      <c r="C32" s="75">
        <f>'Página28'!E8</f>
        <v>384126.13</v>
      </c>
      <c r="D32" s="75">
        <f>'Página28'!C8</f>
        <v>384126.13</v>
      </c>
      <c r="E32" s="77" t="str">
        <f t="shared" si="4"/>
        <v>Ideal (bruto)</v>
      </c>
    </row>
    <row r="33">
      <c r="A33" s="74">
        <f t="shared" si="2"/>
        <v>2023</v>
      </c>
      <c r="B33" s="75">
        <f>'Página28'!F9</f>
        <v>387909.51</v>
      </c>
      <c r="C33" s="75">
        <f>'Página28'!E9</f>
        <v>408325.77</v>
      </c>
      <c r="D33" s="75">
        <f>'Página28'!C9</f>
        <v>408325.77</v>
      </c>
      <c r="E33" s="77" t="str">
        <f t="shared" si="4"/>
        <v>Ideal (bruto)</v>
      </c>
    </row>
    <row r="34">
      <c r="A34" s="74">
        <f t="shared" si="2"/>
        <v>2024</v>
      </c>
      <c r="B34" s="75">
        <f>'Página28'!F10</f>
        <v>397762.59</v>
      </c>
      <c r="C34" s="75">
        <f>'Página28'!E10</f>
        <v>418697.41</v>
      </c>
      <c r="D34" s="75">
        <f>'Página28'!C10</f>
        <v>418697.41</v>
      </c>
      <c r="E34" s="77" t="str">
        <f t="shared" si="4"/>
        <v>Ideal (bruto)</v>
      </c>
    </row>
    <row r="35">
      <c r="A35" s="74">
        <f t="shared" si="2"/>
        <v>2025</v>
      </c>
      <c r="B35" s="75">
        <f>'Página28'!F11</f>
        <v>441136.97</v>
      </c>
      <c r="C35" s="75">
        <f>'Página28'!E11</f>
        <v>464354.67</v>
      </c>
      <c r="D35" s="75">
        <f>'Página28'!C11</f>
        <v>464354.67</v>
      </c>
      <c r="E35" s="77" t="str">
        <f t="shared" si="4"/>
        <v>Ideal (bruto)</v>
      </c>
    </row>
    <row r="36">
      <c r="A36" s="74">
        <f t="shared" si="2"/>
        <v>2026</v>
      </c>
      <c r="B36" s="75">
        <f>'Página28'!F12</f>
        <v>478417.4</v>
      </c>
      <c r="C36" s="75">
        <f>'Página28'!E12</f>
        <v>503597.23</v>
      </c>
      <c r="D36" s="75">
        <f>'Página28'!C12</f>
        <v>503597.23</v>
      </c>
      <c r="E36" s="77" t="str">
        <f t="shared" si="4"/>
        <v>Ideal (bruto)</v>
      </c>
    </row>
    <row r="37">
      <c r="A37" s="74">
        <f t="shared" si="2"/>
        <v>2027</v>
      </c>
      <c r="B37" s="75">
        <f>'Página28'!F13</f>
        <v>489241.1</v>
      </c>
      <c r="C37" s="75">
        <f>'Página28'!E13</f>
        <v>514990.6</v>
      </c>
      <c r="D37" s="75">
        <f>'Página28'!C13</f>
        <v>514990.6</v>
      </c>
      <c r="E37" s="77" t="str">
        <f t="shared" si="4"/>
        <v>Ideal (bruto)</v>
      </c>
    </row>
    <row r="38">
      <c r="A38" s="74">
        <f t="shared" si="2"/>
        <v>2016</v>
      </c>
      <c r="B38" s="75">
        <f>'Página28'!K2</f>
        <v>200429.01</v>
      </c>
      <c r="C38" s="75">
        <f>'Página28'!J2</f>
        <v>210367.83</v>
      </c>
      <c r="D38" s="75">
        <f>'Página28'!H2</f>
        <v>210367.83</v>
      </c>
      <c r="E38" s="78" t="s">
        <v>119</v>
      </c>
    </row>
    <row r="39">
      <c r="A39" s="74">
        <f t="shared" si="2"/>
        <v>2017</v>
      </c>
      <c r="B39" s="75">
        <f>'Página28'!K3</f>
        <v>219293.33</v>
      </c>
      <c r="C39" s="75">
        <f>'Página28'!J3</f>
        <v>230225.03</v>
      </c>
      <c r="D39" s="75">
        <f>'Página28'!H3</f>
        <v>230225.03</v>
      </c>
      <c r="E39" s="78" t="str">
        <f t="shared" ref="E39:E49" si="5">E38</f>
        <v>Ideal (líquido)</v>
      </c>
    </row>
    <row r="40">
      <c r="A40" s="74">
        <f t="shared" si="2"/>
        <v>2018</v>
      </c>
      <c r="B40" s="75">
        <f>'Página28'!K4</f>
        <v>233083.65</v>
      </c>
      <c r="C40" s="75">
        <f>'Página28'!J4</f>
        <v>244741.21</v>
      </c>
      <c r="D40" s="75">
        <f>'Página28'!H4</f>
        <v>244741.21</v>
      </c>
      <c r="E40" s="78" t="str">
        <f t="shared" si="5"/>
        <v>Ideal (líquido)</v>
      </c>
    </row>
    <row r="41">
      <c r="A41" s="74">
        <f t="shared" si="2"/>
        <v>2019</v>
      </c>
      <c r="B41" s="75">
        <f>'Página28'!K5</f>
        <v>247055.7</v>
      </c>
      <c r="C41" s="75">
        <f>'Página28'!J5</f>
        <v>259448.58</v>
      </c>
      <c r="D41" s="75">
        <f>'Página28'!H5</f>
        <v>259448.58</v>
      </c>
      <c r="E41" s="78" t="str">
        <f t="shared" si="5"/>
        <v>Ideal (líquido)</v>
      </c>
    </row>
    <row r="42">
      <c r="A42" s="74">
        <f t="shared" si="2"/>
        <v>2020</v>
      </c>
      <c r="B42" s="75">
        <f>'Página28'!K6</f>
        <v>236484.15</v>
      </c>
      <c r="C42" s="75">
        <f>'Página28'!J6</f>
        <v>247930.18</v>
      </c>
      <c r="D42" s="75">
        <f>'Página28'!H6</f>
        <v>247930.18</v>
      </c>
      <c r="E42" s="78" t="str">
        <f t="shared" si="5"/>
        <v>Ideal (líquido)</v>
      </c>
    </row>
    <row r="43">
      <c r="A43" s="74">
        <f t="shared" si="2"/>
        <v>2021</v>
      </c>
      <c r="B43" s="75">
        <f>'Página28'!K7</f>
        <v>235093.72</v>
      </c>
      <c r="C43" s="75">
        <f>'Página28'!J7</f>
        <v>246372.63</v>
      </c>
      <c r="D43" s="75">
        <f>'Página28'!H7</f>
        <v>246372.63</v>
      </c>
      <c r="E43" s="78" t="str">
        <f t="shared" si="5"/>
        <v>Ideal (líquido)</v>
      </c>
    </row>
    <row r="44">
      <c r="A44" s="74">
        <f t="shared" si="2"/>
        <v>2022</v>
      </c>
      <c r="B44" s="75">
        <f>'Página28'!K8</f>
        <v>236028.76</v>
      </c>
      <c r="C44" s="75">
        <f>'Página28'!J8</f>
        <v>247307.56</v>
      </c>
      <c r="D44" s="75">
        <f>'Página28'!H8</f>
        <v>247307.56</v>
      </c>
      <c r="E44" s="78" t="str">
        <f t="shared" si="5"/>
        <v>Ideal (líquido)</v>
      </c>
    </row>
    <row r="45">
      <c r="A45" s="74">
        <f t="shared" si="2"/>
        <v>2023</v>
      </c>
      <c r="B45" s="75">
        <f>'Página28'!K9</f>
        <v>250280.61</v>
      </c>
      <c r="C45" s="75">
        <f>'Página28'!J9</f>
        <v>262270.12</v>
      </c>
      <c r="D45" s="75">
        <f>'Página28'!H9</f>
        <v>262270.12</v>
      </c>
      <c r="E45" s="78" t="str">
        <f t="shared" si="5"/>
        <v>Ideal (líquido)</v>
      </c>
    </row>
    <row r="46">
      <c r="A46" s="74">
        <f t="shared" si="2"/>
        <v>2024</v>
      </c>
      <c r="B46" s="75">
        <f>'Página28'!K10</f>
        <v>256671.47</v>
      </c>
      <c r="C46" s="75">
        <f>'Página28'!J10</f>
        <v>268965.43</v>
      </c>
      <c r="D46" s="75">
        <f>'Página28'!H10</f>
        <v>268965.43</v>
      </c>
      <c r="E46" s="78" t="str">
        <f t="shared" si="5"/>
        <v>Ideal (líquido)</v>
      </c>
    </row>
    <row r="47">
      <c r="A47" s="74">
        <f t="shared" si="2"/>
        <v>2025</v>
      </c>
      <c r="B47" s="75">
        <f>'Página28'!K11</f>
        <v>282154.02</v>
      </c>
      <c r="C47" s="75">
        <f>'Página28'!J11</f>
        <v>295788.73</v>
      </c>
      <c r="D47" s="75">
        <f>'Página28'!H11</f>
        <v>295788.73</v>
      </c>
      <c r="E47" s="78" t="str">
        <f t="shared" si="5"/>
        <v>Ideal (líquido)</v>
      </c>
    </row>
    <row r="48">
      <c r="A48" s="74">
        <f t="shared" si="2"/>
        <v>2026</v>
      </c>
      <c r="B48" s="75">
        <f>'Página28'!K12</f>
        <v>304046.96</v>
      </c>
      <c r="C48" s="75">
        <f>'Página28'!J12</f>
        <v>318833.91</v>
      </c>
      <c r="D48" s="75">
        <f>'Página28'!H12</f>
        <v>318833.91</v>
      </c>
      <c r="E48" s="78" t="str">
        <f t="shared" si="5"/>
        <v>Ideal (líquido)</v>
      </c>
    </row>
    <row r="49">
      <c r="A49" s="74">
        <f t="shared" si="2"/>
        <v>2027</v>
      </c>
      <c r="B49" s="75">
        <f>'Página28'!K13</f>
        <v>310403.18</v>
      </c>
      <c r="C49" s="75">
        <f>'Página28'!J13</f>
        <v>325524.66</v>
      </c>
      <c r="D49" s="75">
        <f>'Página28'!H13</f>
        <v>325524.66</v>
      </c>
      <c r="E49" s="78" t="str">
        <f t="shared" si="5"/>
        <v>Ideal (líquido)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.0"/>
    <col customWidth="1" min="3" max="3" width="4.63"/>
    <col customWidth="1" min="4" max="4" width="5.88"/>
    <col customWidth="1" min="5" max="5" width="10.63"/>
    <col customWidth="1" min="6" max="6" width="15.0"/>
    <col customWidth="1" min="7" max="7" width="22.13"/>
    <col customWidth="1" min="8" max="19" width="9.38"/>
    <col customWidth="1" min="20" max="23" width="10.75"/>
  </cols>
  <sheetData>
    <row r="1">
      <c r="A1" s="79"/>
      <c r="B1" s="79"/>
      <c r="C1" s="79"/>
      <c r="D1" s="79"/>
      <c r="E1" s="79"/>
      <c r="F1" s="79" t="s">
        <v>107</v>
      </c>
      <c r="G1" s="79" t="s">
        <v>101</v>
      </c>
      <c r="H1" s="80">
        <v>2016.0</v>
      </c>
      <c r="I1" s="79">
        <f t="shared" ref="I1:S1" si="1">H1+1</f>
        <v>2017</v>
      </c>
      <c r="J1" s="79">
        <f t="shared" si="1"/>
        <v>2018</v>
      </c>
      <c r="K1" s="79">
        <f t="shared" si="1"/>
        <v>2019</v>
      </c>
      <c r="L1" s="79">
        <f t="shared" si="1"/>
        <v>2020</v>
      </c>
      <c r="M1" s="79">
        <f t="shared" si="1"/>
        <v>2021</v>
      </c>
      <c r="N1" s="79">
        <f t="shared" si="1"/>
        <v>2022</v>
      </c>
      <c r="O1" s="79">
        <f t="shared" si="1"/>
        <v>2023</v>
      </c>
      <c r="P1" s="79">
        <f t="shared" si="1"/>
        <v>2024</v>
      </c>
      <c r="Q1" s="79">
        <f t="shared" si="1"/>
        <v>2025</v>
      </c>
      <c r="R1" s="79">
        <f t="shared" si="1"/>
        <v>2026</v>
      </c>
      <c r="S1" s="79">
        <f t="shared" si="1"/>
        <v>2027</v>
      </c>
      <c r="T1" s="80" t="s">
        <v>108</v>
      </c>
      <c r="U1" s="80" t="s">
        <v>109</v>
      </c>
      <c r="V1" s="84" t="s">
        <v>110</v>
      </c>
      <c r="W1" s="84" t="s">
        <v>111</v>
      </c>
    </row>
    <row r="2">
      <c r="A2" s="80" t="s">
        <v>104</v>
      </c>
      <c r="B2" s="80"/>
      <c r="C2" s="80" t="s">
        <v>120</v>
      </c>
      <c r="D2" s="80" t="s">
        <v>102</v>
      </c>
      <c r="E2" s="80" t="s">
        <v>121</v>
      </c>
      <c r="F2" s="80" t="str">
        <f t="shared" ref="F2:F25" si="3">IF(B2="",A2,CONCATENATE(A2," (",B2,")"))</f>
        <v>AFFC</v>
      </c>
      <c r="G2" s="80" t="str">
        <f t="shared" ref="G2:G25" si="4">CONCATENATE(C2," (",D2,")"," | ",E2)</f>
        <v>Real (bruto) | MONTANTE</v>
      </c>
      <c r="H2" s="62">
        <f>HLOOKUP($A2,'Página29'!$A:$E,H$1-2016+2,FALSE)</f>
        <v>292658.37</v>
      </c>
      <c r="I2" s="62">
        <f>HLOOKUP($A2,'Página29'!$A:$E,I$1-2016+2,FALSE)</f>
        <v>321894.09</v>
      </c>
      <c r="J2" s="62">
        <f>HLOOKUP($A2,'Página29'!$A:$E,J$1-2016+2,FALSE)</f>
        <v>343266.22</v>
      </c>
      <c r="K2" s="62">
        <f>HLOOKUP($A2,'Página29'!$A:$E,K$1-2016+2,FALSE)</f>
        <v>364919.81</v>
      </c>
      <c r="L2" s="62">
        <f>HLOOKUP($A2,'Página29'!$A:$E,L$1-2016+2,FALSE)</f>
        <v>364919.81</v>
      </c>
      <c r="M2" s="62">
        <f>HLOOKUP($A2,'Página29'!$A:$E,M$1-2016+2,FALSE)</f>
        <v>364919.81</v>
      </c>
      <c r="N2" s="62">
        <f>HLOOKUP($A2,'Página29'!$A:$E,N$1-2016+2,FALSE)</f>
        <v>364919.81</v>
      </c>
      <c r="O2" s="62">
        <f>HLOOKUP($A2,'Página29'!$A:$E,O$1-2016+2,FALSE)</f>
        <v>387909.51</v>
      </c>
      <c r="P2" s="62">
        <f>HLOOKUP($A2,'Página29'!$A:$E,P$1-2016+2,FALSE)</f>
        <v>397762.59</v>
      </c>
      <c r="Q2" s="62">
        <f>HLOOKUP($A2,'Página29'!$A:$E,Q$1-2016+2,FALSE)</f>
        <v>441136.97</v>
      </c>
      <c r="R2" s="62">
        <f>HLOOKUP($A2,'Página29'!$A:$E,R$1-2016+2,FALSE)</f>
        <v>478417.4</v>
      </c>
      <c r="S2" s="62">
        <f>HLOOKUP($A2,'Página29'!$A:$E,S$1-2016+2,FALSE)</f>
        <v>489241.1</v>
      </c>
      <c r="T2" s="62">
        <f t="shared" ref="T2:T25" si="5">SUM(H2:K2)</f>
        <v>1322738.49</v>
      </c>
      <c r="U2" s="62">
        <f t="shared" ref="U2:U25" si="6">SUM(L2:O2)</f>
        <v>1482668.94</v>
      </c>
      <c r="V2" s="47">
        <f t="shared" ref="V2:V25" si="7">SUM(P2:S2)</f>
        <v>1806558.06</v>
      </c>
      <c r="W2" s="47">
        <f t="shared" ref="W2:W25" si="8">SUM(T2:V2)</f>
        <v>4611965.49</v>
      </c>
    </row>
    <row r="3">
      <c r="A3" s="80" t="s">
        <v>105</v>
      </c>
      <c r="B3" s="80" t="s">
        <v>122</v>
      </c>
      <c r="C3" s="79" t="str">
        <f t="shared" ref="C3:E3" si="2">C2</f>
        <v>Real</v>
      </c>
      <c r="D3" s="79" t="str">
        <f t="shared" si="2"/>
        <v>bruto</v>
      </c>
      <c r="E3" s="79" t="str">
        <f t="shared" si="2"/>
        <v>MONTANTE</v>
      </c>
      <c r="F3" s="80" t="str">
        <f t="shared" si="3"/>
        <v>AFRFB (com BEP)</v>
      </c>
      <c r="G3" s="80" t="str">
        <f t="shared" si="4"/>
        <v>Real (bruto) | MONTANTE</v>
      </c>
      <c r="H3" s="62">
        <f>HLOOKUP($A3,'Página29'!$A:$E,H$1-2016+2,FALSE)</f>
        <v>314616.66</v>
      </c>
      <c r="I3" s="62">
        <f>HLOOKUP($A3,'Página29'!$A:$E,I$1-2016+2,FALSE)</f>
        <v>368565.05</v>
      </c>
      <c r="J3" s="62">
        <f>HLOOKUP($A3,'Página29'!$A:$E,J$1-2016+2,FALSE)</f>
        <v>384361.99</v>
      </c>
      <c r="K3" s="62">
        <f>HLOOKUP($A3,'Página29'!$A:$E,K$1-2016+2,FALSE)</f>
        <v>400038.27</v>
      </c>
      <c r="L3" s="62">
        <f>HLOOKUP($A3,'Página29'!$A:$E,L$1-2016+2,FALSE)</f>
        <v>400038.27</v>
      </c>
      <c r="M3" s="62">
        <f>HLOOKUP($A3,'Página29'!$A:$E,M$1-2016+2,FALSE)</f>
        <v>400038.27</v>
      </c>
      <c r="N3" s="62">
        <f>HLOOKUP($A3,'Página29'!$A:$E,N$1-2016+2,FALSE)</f>
        <v>400038.27</v>
      </c>
      <c r="O3" s="62">
        <f>HLOOKUP($A3,'Página29'!$A:$E,O$1-2016+2,FALSE)</f>
        <v>422972.53</v>
      </c>
      <c r="P3" s="62">
        <f>HLOOKUP($A3,'Página29'!$A:$E,P$1-2016+2,FALSE)</f>
        <v>452301.25</v>
      </c>
      <c r="Q3" s="62">
        <f>HLOOKUP($A3,'Página29'!$A:$E,Q$1-2016+2,FALSE)</f>
        <v>479000.65</v>
      </c>
      <c r="R3" s="62">
        <f>HLOOKUP($A3,'Página29'!$A:$E,R$1-2016+2,FALSE)</f>
        <v>522649.3</v>
      </c>
      <c r="S3" s="62">
        <f>HLOOKUP($A3,'Página29'!$A:$E,S$1-2016+2,FALSE)</f>
        <v>539266.93</v>
      </c>
      <c r="T3" s="62">
        <f t="shared" si="5"/>
        <v>1467581.97</v>
      </c>
      <c r="U3" s="62">
        <f t="shared" si="6"/>
        <v>1623087.34</v>
      </c>
      <c r="V3" s="47">
        <f t="shared" si="7"/>
        <v>1993218.13</v>
      </c>
      <c r="W3" s="47">
        <f t="shared" si="8"/>
        <v>5083887.44</v>
      </c>
    </row>
    <row r="4">
      <c r="A4" s="80" t="s">
        <v>106</v>
      </c>
      <c r="B4" s="80" t="s">
        <v>123</v>
      </c>
      <c r="C4" s="79" t="str">
        <f t="shared" ref="C4:E4" si="9">C3</f>
        <v>Real</v>
      </c>
      <c r="D4" s="79" t="str">
        <f t="shared" si="9"/>
        <v>bruto</v>
      </c>
      <c r="E4" s="79" t="str">
        <f t="shared" si="9"/>
        <v>MONTANTE</v>
      </c>
      <c r="F4" s="80" t="str">
        <f t="shared" si="3"/>
        <v>PFN (com HAS)</v>
      </c>
      <c r="G4" s="80" t="str">
        <f t="shared" si="4"/>
        <v>Real (bruto) | MONTANTE</v>
      </c>
      <c r="H4" s="62">
        <f>HLOOKUP($A4,'Página29'!$A:$E,H$1-2016+2,FALSE)</f>
        <v>325160.44</v>
      </c>
      <c r="I4" s="62">
        <f>HLOOKUP($A4,'Página29'!$A:$E,I$1-2016+2,FALSE)</f>
        <v>376515.79</v>
      </c>
      <c r="J4" s="62">
        <f>HLOOKUP($A4,'Página29'!$A:$E,J$1-2016+2,FALSE)</f>
        <v>427006.31</v>
      </c>
      <c r="K4" s="62">
        <f>HLOOKUP($A4,'Página29'!$A:$E,K$1-2016+2,FALSE)</f>
        <v>450634.33</v>
      </c>
      <c r="L4" s="62">
        <f>HLOOKUP($A4,'Página29'!$A:$E,L$1-2016+2,FALSE)</f>
        <v>461202.93</v>
      </c>
      <c r="M4" s="62">
        <f>HLOOKUP($A4,'Página29'!$A:$E,M$1-2016+2,FALSE)</f>
        <v>479167.75</v>
      </c>
      <c r="N4" s="62">
        <f>HLOOKUP($A4,'Página29'!$A:$E,N$1-2016+2,FALSE)</f>
        <v>517782.39</v>
      </c>
      <c r="O4" s="62">
        <f>HLOOKUP($A4,'Página29'!$A:$E,O$1-2016+2,FALSE)</f>
        <v>543982.39</v>
      </c>
      <c r="P4" s="62">
        <f>HLOOKUP($A4,'Página29'!$A:$E,P$1-2016+2,FALSE)</f>
        <v>579717.99</v>
      </c>
      <c r="Q4" s="62">
        <f>HLOOKUP($A4,'Página29'!$A:$E,Q$1-2016+2,FALSE)</f>
        <v>610366.89</v>
      </c>
      <c r="R4" s="62">
        <f>HLOOKUP($A4,'Página29'!$A:$E,R$1-2016+2,FALSE)</f>
        <v>612665.62</v>
      </c>
      <c r="S4" s="62">
        <f>HLOOKUP($A4,'Página29'!$A:$E,S$1-2016+2,FALSE)</f>
        <v>612665.62</v>
      </c>
      <c r="T4" s="62">
        <f t="shared" si="5"/>
        <v>1579316.87</v>
      </c>
      <c r="U4" s="62">
        <f t="shared" si="6"/>
        <v>2002135.46</v>
      </c>
      <c r="V4" s="47">
        <f t="shared" si="7"/>
        <v>2415416.12</v>
      </c>
      <c r="W4" s="47">
        <f t="shared" si="8"/>
        <v>5996868.45</v>
      </c>
    </row>
    <row r="5">
      <c r="A5" s="79" t="str">
        <f t="shared" ref="A5:B5" si="10">A2</f>
        <v>AFFC</v>
      </c>
      <c r="B5" s="80" t="str">
        <f t="shared" si="10"/>
        <v/>
      </c>
      <c r="C5" s="79" t="str">
        <f t="shared" ref="C5:D5" si="11">C4</f>
        <v>Real</v>
      </c>
      <c r="D5" s="79" t="str">
        <f t="shared" si="11"/>
        <v>bruto</v>
      </c>
      <c r="E5" s="80" t="s">
        <v>124</v>
      </c>
      <c r="F5" s="80" t="str">
        <f t="shared" si="3"/>
        <v>AFFC</v>
      </c>
      <c r="G5" s="80" t="str">
        <f t="shared" si="4"/>
        <v>Real (bruto) | DIFERENÇA</v>
      </c>
      <c r="H5" s="62">
        <f t="shared" ref="H5:S5" si="12">H2-H$2</f>
        <v>0</v>
      </c>
      <c r="I5" s="62">
        <f t="shared" si="12"/>
        <v>0</v>
      </c>
      <c r="J5" s="62">
        <f t="shared" si="12"/>
        <v>0</v>
      </c>
      <c r="K5" s="62">
        <f t="shared" si="12"/>
        <v>0</v>
      </c>
      <c r="L5" s="62">
        <f t="shared" si="12"/>
        <v>0</v>
      </c>
      <c r="M5" s="62">
        <f t="shared" si="12"/>
        <v>0</v>
      </c>
      <c r="N5" s="62">
        <f t="shared" si="12"/>
        <v>0</v>
      </c>
      <c r="O5" s="62">
        <f t="shared" si="12"/>
        <v>0</v>
      </c>
      <c r="P5" s="62">
        <f t="shared" si="12"/>
        <v>0</v>
      </c>
      <c r="Q5" s="62">
        <f t="shared" si="12"/>
        <v>0</v>
      </c>
      <c r="R5" s="62">
        <f t="shared" si="12"/>
        <v>0</v>
      </c>
      <c r="S5" s="62">
        <f t="shared" si="12"/>
        <v>0</v>
      </c>
      <c r="T5" s="62">
        <f t="shared" si="5"/>
        <v>0</v>
      </c>
      <c r="U5" s="62">
        <f t="shared" si="6"/>
        <v>0</v>
      </c>
      <c r="V5" s="47">
        <f t="shared" si="7"/>
        <v>0</v>
      </c>
      <c r="W5" s="47">
        <f t="shared" si="8"/>
        <v>0</v>
      </c>
    </row>
    <row r="6">
      <c r="A6" s="79" t="str">
        <f t="shared" ref="A6:B6" si="13">A3</f>
        <v>AFRFB</v>
      </c>
      <c r="B6" s="80" t="str">
        <f t="shared" si="13"/>
        <v>com BEP</v>
      </c>
      <c r="C6" s="79" t="str">
        <f t="shared" ref="C6:E6" si="14">C5</f>
        <v>Real</v>
      </c>
      <c r="D6" s="79" t="str">
        <f t="shared" si="14"/>
        <v>bruto</v>
      </c>
      <c r="E6" s="79" t="str">
        <f t="shared" si="14"/>
        <v>DIFERENÇA</v>
      </c>
      <c r="F6" s="80" t="str">
        <f t="shared" si="3"/>
        <v>AFRFB (com BEP)</v>
      </c>
      <c r="G6" s="80" t="str">
        <f t="shared" si="4"/>
        <v>Real (bruto) | DIFERENÇA</v>
      </c>
      <c r="H6" s="62">
        <f t="shared" ref="H6:S6" si="15">H3-H$2</f>
        <v>21958.29</v>
      </c>
      <c r="I6" s="62">
        <f t="shared" si="15"/>
        <v>46670.96</v>
      </c>
      <c r="J6" s="62">
        <f t="shared" si="15"/>
        <v>41095.77</v>
      </c>
      <c r="K6" s="62">
        <f t="shared" si="15"/>
        <v>35118.46</v>
      </c>
      <c r="L6" s="62">
        <f t="shared" si="15"/>
        <v>35118.46</v>
      </c>
      <c r="M6" s="62">
        <f t="shared" si="15"/>
        <v>35118.46</v>
      </c>
      <c r="N6" s="62">
        <f t="shared" si="15"/>
        <v>35118.46</v>
      </c>
      <c r="O6" s="62">
        <f t="shared" si="15"/>
        <v>35063.02</v>
      </c>
      <c r="P6" s="62">
        <f t="shared" si="15"/>
        <v>54538.66</v>
      </c>
      <c r="Q6" s="62">
        <f t="shared" si="15"/>
        <v>37863.68</v>
      </c>
      <c r="R6" s="62">
        <f t="shared" si="15"/>
        <v>44231.9</v>
      </c>
      <c r="S6" s="62">
        <f t="shared" si="15"/>
        <v>50025.83</v>
      </c>
      <c r="T6" s="62">
        <f t="shared" si="5"/>
        <v>144843.48</v>
      </c>
      <c r="U6" s="62">
        <f t="shared" si="6"/>
        <v>140418.4</v>
      </c>
      <c r="V6" s="47">
        <f t="shared" si="7"/>
        <v>186660.07</v>
      </c>
      <c r="W6" s="47">
        <f t="shared" si="8"/>
        <v>471921.95</v>
      </c>
    </row>
    <row r="7">
      <c r="A7" s="79" t="str">
        <f t="shared" ref="A7:B7" si="16">A4</f>
        <v>PFN</v>
      </c>
      <c r="B7" s="80" t="str">
        <f t="shared" si="16"/>
        <v>com HAS</v>
      </c>
      <c r="C7" s="79" t="str">
        <f t="shared" ref="C7:E7" si="17">C6</f>
        <v>Real</v>
      </c>
      <c r="D7" s="79" t="str">
        <f t="shared" si="17"/>
        <v>bruto</v>
      </c>
      <c r="E7" s="79" t="str">
        <f t="shared" si="17"/>
        <v>DIFERENÇA</v>
      </c>
      <c r="F7" s="80" t="str">
        <f t="shared" si="3"/>
        <v>PFN (com HAS)</v>
      </c>
      <c r="G7" s="80" t="str">
        <f t="shared" si="4"/>
        <v>Real (bruto) | DIFERENÇA</v>
      </c>
      <c r="H7" s="62">
        <f t="shared" ref="H7:S7" si="18">H4-H$2</f>
        <v>32502.07</v>
      </c>
      <c r="I7" s="62">
        <f t="shared" si="18"/>
        <v>54621.7</v>
      </c>
      <c r="J7" s="62">
        <f t="shared" si="18"/>
        <v>83740.09</v>
      </c>
      <c r="K7" s="62">
        <f t="shared" si="18"/>
        <v>85714.52</v>
      </c>
      <c r="L7" s="62">
        <f t="shared" si="18"/>
        <v>96283.12</v>
      </c>
      <c r="M7" s="62">
        <f t="shared" si="18"/>
        <v>114247.94</v>
      </c>
      <c r="N7" s="62">
        <f t="shared" si="18"/>
        <v>152862.58</v>
      </c>
      <c r="O7" s="62">
        <f t="shared" si="18"/>
        <v>156072.88</v>
      </c>
      <c r="P7" s="62">
        <f t="shared" si="18"/>
        <v>181955.4</v>
      </c>
      <c r="Q7" s="62">
        <f t="shared" si="18"/>
        <v>169229.92</v>
      </c>
      <c r="R7" s="62">
        <f t="shared" si="18"/>
        <v>134248.22</v>
      </c>
      <c r="S7" s="62">
        <f t="shared" si="18"/>
        <v>123424.52</v>
      </c>
      <c r="T7" s="62">
        <f t="shared" si="5"/>
        <v>256578.38</v>
      </c>
      <c r="U7" s="62">
        <f t="shared" si="6"/>
        <v>519466.52</v>
      </c>
      <c r="V7" s="47">
        <f t="shared" si="7"/>
        <v>608858.06</v>
      </c>
      <c r="W7" s="47">
        <f t="shared" si="8"/>
        <v>1384902.96</v>
      </c>
    </row>
    <row r="8">
      <c r="A8" s="79" t="str">
        <f t="shared" ref="A8:B8" si="19">A5</f>
        <v>AFFC</v>
      </c>
      <c r="B8" s="80" t="str">
        <f t="shared" si="19"/>
        <v/>
      </c>
      <c r="C8" s="79" t="str">
        <f t="shared" ref="C8:C13" si="21">C7</f>
        <v>Real</v>
      </c>
      <c r="D8" s="80" t="s">
        <v>103</v>
      </c>
      <c r="E8" s="80" t="str">
        <f t="shared" ref="E8:E25" si="22">E2</f>
        <v>MONTANTE</v>
      </c>
      <c r="F8" s="80" t="str">
        <f t="shared" si="3"/>
        <v>AFFC</v>
      </c>
      <c r="G8" s="80" t="str">
        <f t="shared" si="4"/>
        <v>Real (líquido) | MONTANTE</v>
      </c>
      <c r="H8" s="62">
        <f>HLOOKUP($A8,'Página29'!$A:$E,H$1-2016+2+12,FALSE)</f>
        <v>200429.01</v>
      </c>
      <c r="I8" s="62">
        <f>HLOOKUP($A8,'Página29'!$A:$E,I$1-2016+2+12,FALSE)</f>
        <v>219293.33</v>
      </c>
      <c r="J8" s="62">
        <f>HLOOKUP($A8,'Página29'!$A:$E,J$1-2016+2+12,FALSE)</f>
        <v>233083.65</v>
      </c>
      <c r="K8" s="62">
        <f>HLOOKUP($A8,'Página29'!$A:$E,K$1-2016+2+12,FALSE)</f>
        <v>247055.7</v>
      </c>
      <c r="L8" s="62">
        <f>HLOOKUP($A8,'Página29'!$A:$E,L$1-2016+2+12,FALSE)</f>
        <v>236484.15</v>
      </c>
      <c r="M8" s="62">
        <f>HLOOKUP($A8,'Página29'!$A:$E,M$1-2016+2+12,FALSE)</f>
        <v>235093.72</v>
      </c>
      <c r="N8" s="62">
        <f>HLOOKUP($A8,'Página29'!$A:$E,N$1-2016+2+12,FALSE)</f>
        <v>236028.76</v>
      </c>
      <c r="O8" s="62">
        <f>HLOOKUP($A8,'Página29'!$A:$E,O$1-2016+2+12,FALSE)</f>
        <v>250280.61</v>
      </c>
      <c r="P8" s="62">
        <f>HLOOKUP($A8,'Página29'!$A:$E,P$1-2016+2+12,FALSE)</f>
        <v>256671.47</v>
      </c>
      <c r="Q8" s="62">
        <f>HLOOKUP($A8,'Página29'!$A:$E,Q$1-2016+2+12,FALSE)</f>
        <v>282154.02</v>
      </c>
      <c r="R8" s="62">
        <f>HLOOKUP($A8,'Página29'!$A:$E,R$1-2016+2+12,FALSE)</f>
        <v>304046.96</v>
      </c>
      <c r="S8" s="62">
        <f>HLOOKUP($A8,'Página29'!$A:$E,S$1-2016+2+12,FALSE)</f>
        <v>310403.18</v>
      </c>
      <c r="T8" s="62">
        <f t="shared" si="5"/>
        <v>899861.69</v>
      </c>
      <c r="U8" s="62">
        <f t="shared" si="6"/>
        <v>957887.24</v>
      </c>
      <c r="V8" s="47">
        <f t="shared" si="7"/>
        <v>1153275.63</v>
      </c>
      <c r="W8" s="47">
        <f t="shared" si="8"/>
        <v>3011024.56</v>
      </c>
    </row>
    <row r="9">
      <c r="A9" s="79" t="str">
        <f t="shared" ref="A9:B9" si="20">A6</f>
        <v>AFRFB</v>
      </c>
      <c r="B9" s="80" t="str">
        <f t="shared" si="20"/>
        <v>com BEP</v>
      </c>
      <c r="C9" s="79" t="str">
        <f t="shared" si="21"/>
        <v>Real</v>
      </c>
      <c r="D9" s="79" t="str">
        <f t="shared" ref="D9:D13" si="24">D8</f>
        <v>líquido</v>
      </c>
      <c r="E9" s="80" t="str">
        <f t="shared" si="22"/>
        <v>MONTANTE</v>
      </c>
      <c r="F9" s="80" t="str">
        <f t="shared" si="3"/>
        <v>AFRFB (com BEP)</v>
      </c>
      <c r="G9" s="80" t="str">
        <f t="shared" si="4"/>
        <v>Real (líquido) | MONTANTE</v>
      </c>
      <c r="H9" s="62">
        <f>HLOOKUP($A9,'Página29'!$A:$E,H$1-2016+2+12,FALSE)</f>
        <v>215745.83</v>
      </c>
      <c r="I9" s="62">
        <f>HLOOKUP($A9,'Página29'!$A:$E,I$1-2016+2+12,FALSE)</f>
        <v>252278.64</v>
      </c>
      <c r="J9" s="62">
        <f>HLOOKUP($A9,'Página29'!$A:$E,J$1-2016+2+12,FALSE)</f>
        <v>262471.69</v>
      </c>
      <c r="K9" s="62">
        <f>HLOOKUP($A9,'Página29'!$A:$E,K$1-2016+2+12,FALSE)</f>
        <v>272586.78</v>
      </c>
      <c r="L9" s="62">
        <f>HLOOKUP($A9,'Página29'!$A:$E,L$1-2016+2+12,FALSE)</f>
        <v>262058.66</v>
      </c>
      <c r="M9" s="62">
        <f>HLOOKUP($A9,'Página29'!$A:$E,M$1-2016+2+12,FALSE)</f>
        <v>260675.89</v>
      </c>
      <c r="N9" s="62">
        <f>HLOOKUP($A9,'Página29'!$A:$E,N$1-2016+2+12,FALSE)</f>
        <v>261610.93</v>
      </c>
      <c r="O9" s="62">
        <f>HLOOKUP($A9,'Página29'!$A:$E,O$1-2016+2+12,FALSE)</f>
        <v>275830.28</v>
      </c>
      <c r="P9" s="62">
        <f>HLOOKUP($A9,'Página29'!$A:$E,P$1-2016+2+12,FALSE)</f>
        <v>296344.17</v>
      </c>
      <c r="Q9" s="62">
        <f>HLOOKUP($A9,'Página29'!$A:$E,Q$1-2016+2+12,FALSE)</f>
        <v>315712.28</v>
      </c>
      <c r="R9" s="62">
        <f>HLOOKUP($A9,'Página29'!$A:$E,R$1-2016+2+12,FALSE)</f>
        <v>347357.55</v>
      </c>
      <c r="S9" s="62">
        <f>HLOOKUP($A9,'Página29'!$A:$E,S$1-2016+2+12,FALSE)</f>
        <v>359405.31</v>
      </c>
      <c r="T9" s="62">
        <f t="shared" si="5"/>
        <v>1003082.94</v>
      </c>
      <c r="U9" s="62">
        <f t="shared" si="6"/>
        <v>1060175.76</v>
      </c>
      <c r="V9" s="47">
        <f t="shared" si="7"/>
        <v>1318819.31</v>
      </c>
      <c r="W9" s="47">
        <f t="shared" si="8"/>
        <v>3382078.01</v>
      </c>
    </row>
    <row r="10">
      <c r="A10" s="79" t="str">
        <f t="shared" ref="A10:B10" si="23">A7</f>
        <v>PFN</v>
      </c>
      <c r="B10" s="80" t="str">
        <f t="shared" si="23"/>
        <v>com HAS</v>
      </c>
      <c r="C10" s="79" t="str">
        <f t="shared" si="21"/>
        <v>Real</v>
      </c>
      <c r="D10" s="79" t="str">
        <f t="shared" si="24"/>
        <v>líquido</v>
      </c>
      <c r="E10" s="80" t="str">
        <f t="shared" si="22"/>
        <v>MONTANTE</v>
      </c>
      <c r="F10" s="80" t="str">
        <f t="shared" si="3"/>
        <v>PFN (com HAS)</v>
      </c>
      <c r="G10" s="80" t="str">
        <f t="shared" si="4"/>
        <v>Real (líquido) | MONTANTE</v>
      </c>
      <c r="H10" s="62">
        <f>HLOOKUP($A10,'Página29'!$A:$E,H$1-2016+2+12,FALSE)</f>
        <v>222764.63</v>
      </c>
      <c r="I10" s="62">
        <f>HLOOKUP($A10,'Página29'!$A:$E,I$1-2016+2+12,FALSE)</f>
        <v>258042.88</v>
      </c>
      <c r="J10" s="62">
        <f>HLOOKUP($A10,'Página29'!$A:$E,J$1-2016+2+12,FALSE)</f>
        <v>293388.78</v>
      </c>
      <c r="K10" s="62">
        <f>HLOOKUP($A10,'Página29'!$A:$E,K$1-2016+2+12,FALSE)</f>
        <v>309268.8</v>
      </c>
      <c r="L10" s="62">
        <f>HLOOKUP($A10,'Página29'!$A:$E,L$1-2016+2+12,FALSE)</f>
        <v>306402.98</v>
      </c>
      <c r="M10" s="62">
        <f>HLOOKUP($A10,'Página29'!$A:$E,M$1-2016+2+12,FALSE)</f>
        <v>318044.7</v>
      </c>
      <c r="N10" s="62">
        <f>HLOOKUP($A10,'Página29'!$A:$E,N$1-2016+2+12,FALSE)</f>
        <v>346975.33</v>
      </c>
      <c r="O10" s="62">
        <f>HLOOKUP($A10,'Página29'!$A:$E,O$1-2016+2+12,FALSE)</f>
        <v>363562.26</v>
      </c>
      <c r="P10" s="62">
        <f>HLOOKUP($A10,'Página29'!$A:$E,P$1-2016+2+12,FALSE)</f>
        <v>388721.08</v>
      </c>
      <c r="Q10" s="62">
        <f>HLOOKUP($A10,'Página29'!$A:$E,Q$1-2016+2+12,FALSE)</f>
        <v>410952.58</v>
      </c>
      <c r="R10" s="62">
        <f>HLOOKUP($A10,'Página29'!$A:$E,R$1-2016+2+12,FALSE)</f>
        <v>412619.16</v>
      </c>
      <c r="S10" s="62">
        <f>HLOOKUP($A10,'Página29'!$A:$E,S$1-2016+2+12,FALSE)</f>
        <v>412619.16</v>
      </c>
      <c r="T10" s="62">
        <f t="shared" si="5"/>
        <v>1083465.09</v>
      </c>
      <c r="U10" s="62">
        <f t="shared" si="6"/>
        <v>1334985.27</v>
      </c>
      <c r="V10" s="47">
        <f t="shared" si="7"/>
        <v>1624911.98</v>
      </c>
      <c r="W10" s="47">
        <f t="shared" si="8"/>
        <v>4043362.34</v>
      </c>
    </row>
    <row r="11">
      <c r="A11" s="79" t="str">
        <f t="shared" ref="A11:B11" si="25">A8</f>
        <v>AFFC</v>
      </c>
      <c r="B11" s="80" t="str">
        <f t="shared" si="25"/>
        <v/>
      </c>
      <c r="C11" s="79" t="str">
        <f t="shared" si="21"/>
        <v>Real</v>
      </c>
      <c r="D11" s="79" t="str">
        <f t="shared" si="24"/>
        <v>líquido</v>
      </c>
      <c r="E11" s="80" t="str">
        <f t="shared" si="22"/>
        <v>DIFERENÇA</v>
      </c>
      <c r="F11" s="80" t="str">
        <f t="shared" si="3"/>
        <v>AFFC</v>
      </c>
      <c r="G11" s="80" t="str">
        <f t="shared" si="4"/>
        <v>Real (líquido) | DIFERENÇA</v>
      </c>
      <c r="H11" s="62">
        <f t="shared" ref="H11:S11" si="26">H8-H$8</f>
        <v>0</v>
      </c>
      <c r="I11" s="62">
        <f t="shared" si="26"/>
        <v>0</v>
      </c>
      <c r="J11" s="62">
        <f t="shared" si="26"/>
        <v>0</v>
      </c>
      <c r="K11" s="62">
        <f t="shared" si="26"/>
        <v>0</v>
      </c>
      <c r="L11" s="62">
        <f t="shared" si="26"/>
        <v>0</v>
      </c>
      <c r="M11" s="62">
        <f t="shared" si="26"/>
        <v>0</v>
      </c>
      <c r="N11" s="62">
        <f t="shared" si="26"/>
        <v>0</v>
      </c>
      <c r="O11" s="62">
        <f t="shared" si="26"/>
        <v>0</v>
      </c>
      <c r="P11" s="62">
        <f t="shared" si="26"/>
        <v>0</v>
      </c>
      <c r="Q11" s="62">
        <f t="shared" si="26"/>
        <v>0</v>
      </c>
      <c r="R11" s="62">
        <f t="shared" si="26"/>
        <v>0</v>
      </c>
      <c r="S11" s="62">
        <f t="shared" si="26"/>
        <v>0</v>
      </c>
      <c r="T11" s="62">
        <f t="shared" si="5"/>
        <v>0</v>
      </c>
      <c r="U11" s="62">
        <f t="shared" si="6"/>
        <v>0</v>
      </c>
      <c r="V11" s="47">
        <f t="shared" si="7"/>
        <v>0</v>
      </c>
      <c r="W11" s="47">
        <f t="shared" si="8"/>
        <v>0</v>
      </c>
    </row>
    <row r="12">
      <c r="A12" s="79" t="str">
        <f t="shared" ref="A12:B12" si="27">A9</f>
        <v>AFRFB</v>
      </c>
      <c r="B12" s="80" t="str">
        <f t="shared" si="27"/>
        <v>com BEP</v>
      </c>
      <c r="C12" s="79" t="str">
        <f t="shared" si="21"/>
        <v>Real</v>
      </c>
      <c r="D12" s="79" t="str">
        <f t="shared" si="24"/>
        <v>líquido</v>
      </c>
      <c r="E12" s="80" t="str">
        <f t="shared" si="22"/>
        <v>DIFERENÇA</v>
      </c>
      <c r="F12" s="80" t="str">
        <f t="shared" si="3"/>
        <v>AFRFB (com BEP)</v>
      </c>
      <c r="G12" s="80" t="str">
        <f t="shared" si="4"/>
        <v>Real (líquido) | DIFERENÇA</v>
      </c>
      <c r="H12" s="62">
        <f t="shared" ref="H12:S12" si="28">H9-H$8</f>
        <v>15316.82</v>
      </c>
      <c r="I12" s="62">
        <f t="shared" si="28"/>
        <v>32985.31</v>
      </c>
      <c r="J12" s="62">
        <f t="shared" si="28"/>
        <v>29388.04</v>
      </c>
      <c r="K12" s="62">
        <f t="shared" si="28"/>
        <v>25531.08</v>
      </c>
      <c r="L12" s="62">
        <f t="shared" si="28"/>
        <v>25574.51</v>
      </c>
      <c r="M12" s="62">
        <f t="shared" si="28"/>
        <v>25582.17</v>
      </c>
      <c r="N12" s="62">
        <f t="shared" si="28"/>
        <v>25582.17</v>
      </c>
      <c r="O12" s="62">
        <f t="shared" si="28"/>
        <v>25549.67</v>
      </c>
      <c r="P12" s="62">
        <f t="shared" si="28"/>
        <v>39672.7</v>
      </c>
      <c r="Q12" s="62">
        <f t="shared" si="28"/>
        <v>33558.26</v>
      </c>
      <c r="R12" s="62">
        <f t="shared" si="28"/>
        <v>43310.59</v>
      </c>
      <c r="S12" s="62">
        <f t="shared" si="28"/>
        <v>49002.13</v>
      </c>
      <c r="T12" s="62">
        <f t="shared" si="5"/>
        <v>103221.25</v>
      </c>
      <c r="U12" s="62">
        <f t="shared" si="6"/>
        <v>102288.52</v>
      </c>
      <c r="V12" s="47">
        <f t="shared" si="7"/>
        <v>165543.68</v>
      </c>
      <c r="W12" s="47">
        <f t="shared" si="8"/>
        <v>371053.45</v>
      </c>
    </row>
    <row r="13">
      <c r="A13" s="79" t="str">
        <f t="shared" ref="A13:B13" si="29">A10</f>
        <v>PFN</v>
      </c>
      <c r="B13" s="80" t="str">
        <f t="shared" si="29"/>
        <v>com HAS</v>
      </c>
      <c r="C13" s="79" t="str">
        <f t="shared" si="21"/>
        <v>Real</v>
      </c>
      <c r="D13" s="79" t="str">
        <f t="shared" si="24"/>
        <v>líquido</v>
      </c>
      <c r="E13" s="80" t="str">
        <f t="shared" si="22"/>
        <v>DIFERENÇA</v>
      </c>
      <c r="F13" s="80" t="str">
        <f t="shared" si="3"/>
        <v>PFN (com HAS)</v>
      </c>
      <c r="G13" s="80" t="str">
        <f t="shared" si="4"/>
        <v>Real (líquido) | DIFERENÇA</v>
      </c>
      <c r="H13" s="62">
        <f t="shared" ref="H13:S13" si="30">H10-H$8</f>
        <v>22335.62</v>
      </c>
      <c r="I13" s="62">
        <f t="shared" si="30"/>
        <v>38749.55</v>
      </c>
      <c r="J13" s="62">
        <f t="shared" si="30"/>
        <v>60305.13</v>
      </c>
      <c r="K13" s="62">
        <f t="shared" si="30"/>
        <v>62213.1</v>
      </c>
      <c r="L13" s="62">
        <f t="shared" si="30"/>
        <v>69918.83</v>
      </c>
      <c r="M13" s="62">
        <f t="shared" si="30"/>
        <v>82950.98</v>
      </c>
      <c r="N13" s="62">
        <f t="shared" si="30"/>
        <v>110946.57</v>
      </c>
      <c r="O13" s="62">
        <f t="shared" si="30"/>
        <v>113281.65</v>
      </c>
      <c r="P13" s="62">
        <f t="shared" si="30"/>
        <v>132049.61</v>
      </c>
      <c r="Q13" s="62">
        <f t="shared" si="30"/>
        <v>128798.56</v>
      </c>
      <c r="R13" s="62">
        <f t="shared" si="30"/>
        <v>108572.2</v>
      </c>
      <c r="S13" s="62">
        <f t="shared" si="30"/>
        <v>102215.98</v>
      </c>
      <c r="T13" s="62">
        <f t="shared" si="5"/>
        <v>183603.4</v>
      </c>
      <c r="U13" s="62">
        <f t="shared" si="6"/>
        <v>377098.03</v>
      </c>
      <c r="V13" s="47">
        <f t="shared" si="7"/>
        <v>471636.35</v>
      </c>
      <c r="W13" s="47">
        <f t="shared" si="8"/>
        <v>1032337.78</v>
      </c>
    </row>
    <row r="14">
      <c r="A14" s="80" t="str">
        <f t="shared" ref="A14:A25" si="31">A11</f>
        <v>AFFC</v>
      </c>
      <c r="B14" s="80"/>
      <c r="C14" s="80" t="s">
        <v>125</v>
      </c>
      <c r="D14" s="80" t="str">
        <f t="shared" ref="D14:D25" si="32">D2</f>
        <v>bruto</v>
      </c>
      <c r="E14" s="80" t="str">
        <f t="shared" si="22"/>
        <v>MONTANTE</v>
      </c>
      <c r="F14" s="80" t="str">
        <f t="shared" si="3"/>
        <v>AFFC</v>
      </c>
      <c r="G14" s="80" t="str">
        <f t="shared" si="4"/>
        <v>Ideal (bruto) | MONTANTE</v>
      </c>
      <c r="H14" s="62">
        <f>HLOOKUP($A14,'Página29'!$A:$E,H$1-2016+2+24,FALSE)</f>
        <v>292658.37</v>
      </c>
      <c r="I14" s="62">
        <f>HLOOKUP($A14,'Página29'!$A:$E,I$1-2016+2+24,FALSE)</f>
        <v>321894.09</v>
      </c>
      <c r="J14" s="62">
        <f>HLOOKUP($A14,'Página29'!$A:$E,J$1-2016+2+24,FALSE)</f>
        <v>343266.22</v>
      </c>
      <c r="K14" s="62">
        <f>HLOOKUP($A14,'Página29'!$A:$E,K$1-2016+2+24,FALSE)</f>
        <v>364919.81</v>
      </c>
      <c r="L14" s="62">
        <f>HLOOKUP($A14,'Página29'!$A:$E,L$1-2016+2+24,FALSE)</f>
        <v>364919.81</v>
      </c>
      <c r="M14" s="62">
        <f>HLOOKUP($A14,'Página29'!$A:$E,M$1-2016+2+24,FALSE)</f>
        <v>364919.81</v>
      </c>
      <c r="N14" s="62">
        <f>HLOOKUP($A14,'Página29'!$A:$E,N$1-2016+2+24,FALSE)</f>
        <v>364919.81</v>
      </c>
      <c r="O14" s="62">
        <f>HLOOKUP($A14,'Página29'!$A:$E,O$1-2016+2+24,FALSE)</f>
        <v>387909.51</v>
      </c>
      <c r="P14" s="62">
        <f>HLOOKUP($A14,'Página29'!$A:$E,P$1-2016+2+24,FALSE)</f>
        <v>397762.59</v>
      </c>
      <c r="Q14" s="62">
        <f>HLOOKUP($A14,'Página29'!$A:$E,Q$1-2016+2+24,FALSE)</f>
        <v>441136.97</v>
      </c>
      <c r="R14" s="62">
        <f>HLOOKUP($A14,'Página29'!$A:$E,R$1-2016+2+24,FALSE)</f>
        <v>478417.4</v>
      </c>
      <c r="S14" s="62">
        <f>HLOOKUP($A14,'Página29'!$A:$E,S$1-2016+2+24,FALSE)</f>
        <v>489241.1</v>
      </c>
      <c r="T14" s="62">
        <f t="shared" si="5"/>
        <v>1322738.49</v>
      </c>
      <c r="U14" s="62">
        <f t="shared" si="6"/>
        <v>1482668.94</v>
      </c>
      <c r="V14" s="47">
        <f t="shared" si="7"/>
        <v>1806558.06</v>
      </c>
      <c r="W14" s="47">
        <f t="shared" si="8"/>
        <v>4611965.49</v>
      </c>
    </row>
    <row r="15">
      <c r="A15" s="80" t="str">
        <f t="shared" si="31"/>
        <v>AFRFB</v>
      </c>
      <c r="B15" s="80" t="s">
        <v>126</v>
      </c>
      <c r="C15" s="79" t="str">
        <f t="shared" ref="C15:C25" si="33">C14</f>
        <v>Ideal</v>
      </c>
      <c r="D15" s="80" t="str">
        <f t="shared" si="32"/>
        <v>bruto</v>
      </c>
      <c r="E15" s="80" t="str">
        <f t="shared" si="22"/>
        <v>MONTANTE</v>
      </c>
      <c r="F15" s="80" t="str">
        <f t="shared" si="3"/>
        <v>AFRFB (sem BEP)</v>
      </c>
      <c r="G15" s="80" t="str">
        <f t="shared" si="4"/>
        <v>Ideal (bruto) | MONTANTE</v>
      </c>
      <c r="H15" s="62">
        <f>HLOOKUP($A15,'Página29'!$A:$E,H$1-2016+2+24,FALSE)</f>
        <v>308061.47</v>
      </c>
      <c r="I15" s="62">
        <f>HLOOKUP($A15,'Página29'!$A:$E,I$1-2016+2+24,FALSE)</f>
        <v>338835.92</v>
      </c>
      <c r="J15" s="62">
        <f>HLOOKUP($A15,'Página29'!$A:$E,J$1-2016+2+24,FALSE)</f>
        <v>361332.84</v>
      </c>
      <c r="K15" s="62">
        <f>HLOOKUP($A15,'Página29'!$A:$E,K$1-2016+2+24,FALSE)</f>
        <v>384126.13</v>
      </c>
      <c r="L15" s="62">
        <f>HLOOKUP($A15,'Página29'!$A:$E,L$1-2016+2+24,FALSE)</f>
        <v>384126.13</v>
      </c>
      <c r="M15" s="62">
        <f>HLOOKUP($A15,'Página29'!$A:$E,M$1-2016+2+24,FALSE)</f>
        <v>384126.13</v>
      </c>
      <c r="N15" s="62">
        <f>HLOOKUP($A15,'Página29'!$A:$E,N$1-2016+2+24,FALSE)</f>
        <v>384126.13</v>
      </c>
      <c r="O15" s="62">
        <f>HLOOKUP($A15,'Página29'!$A:$E,O$1-2016+2+24,FALSE)</f>
        <v>408325.77</v>
      </c>
      <c r="P15" s="62">
        <f>HLOOKUP($A15,'Página29'!$A:$E,P$1-2016+2+24,FALSE)</f>
        <v>418697.41</v>
      </c>
      <c r="Q15" s="62">
        <f>HLOOKUP($A15,'Página29'!$A:$E,Q$1-2016+2+24,FALSE)</f>
        <v>464354.67</v>
      </c>
      <c r="R15" s="62">
        <f>HLOOKUP($A15,'Página29'!$A:$E,R$1-2016+2+24,FALSE)</f>
        <v>503597.23</v>
      </c>
      <c r="S15" s="62">
        <f>HLOOKUP($A15,'Página29'!$A:$E,S$1-2016+2+24,FALSE)</f>
        <v>514990.6</v>
      </c>
      <c r="T15" s="62">
        <f t="shared" si="5"/>
        <v>1392356.36</v>
      </c>
      <c r="U15" s="62">
        <f t="shared" si="6"/>
        <v>1560704.16</v>
      </c>
      <c r="V15" s="47">
        <f t="shared" si="7"/>
        <v>1901639.91</v>
      </c>
      <c r="W15" s="47">
        <f t="shared" si="8"/>
        <v>4854700.43</v>
      </c>
    </row>
    <row r="16">
      <c r="A16" s="80" t="str">
        <f t="shared" si="31"/>
        <v>PFN</v>
      </c>
      <c r="B16" s="80" t="s">
        <v>127</v>
      </c>
      <c r="C16" s="79" t="str">
        <f t="shared" si="33"/>
        <v>Ideal</v>
      </c>
      <c r="D16" s="80" t="str">
        <f t="shared" si="32"/>
        <v>bruto</v>
      </c>
      <c r="E16" s="80" t="str">
        <f t="shared" si="22"/>
        <v>MONTANTE</v>
      </c>
      <c r="F16" s="80" t="str">
        <f t="shared" si="3"/>
        <v>PFN (sem HAS)</v>
      </c>
      <c r="G16" s="80" t="str">
        <f t="shared" si="4"/>
        <v>Ideal (bruto) | MONTANTE</v>
      </c>
      <c r="H16" s="62">
        <f>HLOOKUP($A16,'Página29'!$A:$E,H$1-2016+2+24,FALSE)</f>
        <v>308061.47</v>
      </c>
      <c r="I16" s="62">
        <f>HLOOKUP($A16,'Página29'!$A:$E,I$1-2016+2+24,FALSE)</f>
        <v>338835.92</v>
      </c>
      <c r="J16" s="62">
        <f>HLOOKUP($A16,'Página29'!$A:$E,J$1-2016+2+24,FALSE)</f>
        <v>361332.84</v>
      </c>
      <c r="K16" s="62">
        <f>HLOOKUP($A16,'Página29'!$A:$E,K$1-2016+2+24,FALSE)</f>
        <v>384126.13</v>
      </c>
      <c r="L16" s="62">
        <f>HLOOKUP($A16,'Página29'!$A:$E,L$1-2016+2+24,FALSE)</f>
        <v>384126.13</v>
      </c>
      <c r="M16" s="62">
        <f>HLOOKUP($A16,'Página29'!$A:$E,M$1-2016+2+24,FALSE)</f>
        <v>384126.13</v>
      </c>
      <c r="N16" s="62">
        <f>HLOOKUP($A16,'Página29'!$A:$E,N$1-2016+2+24,FALSE)</f>
        <v>384126.13</v>
      </c>
      <c r="O16" s="62">
        <f>HLOOKUP($A16,'Página29'!$A:$E,O$1-2016+2+24,FALSE)</f>
        <v>408325.77</v>
      </c>
      <c r="P16" s="62">
        <f>HLOOKUP($A16,'Página29'!$A:$E,P$1-2016+2+24,FALSE)</f>
        <v>418697.41</v>
      </c>
      <c r="Q16" s="62">
        <f>HLOOKUP($A16,'Página29'!$A:$E,Q$1-2016+2+24,FALSE)</f>
        <v>464354.67</v>
      </c>
      <c r="R16" s="62">
        <f>HLOOKUP($A16,'Página29'!$A:$E,R$1-2016+2+24,FALSE)</f>
        <v>503597.23</v>
      </c>
      <c r="S16" s="62">
        <f>HLOOKUP($A16,'Página29'!$A:$E,S$1-2016+2+24,FALSE)</f>
        <v>514990.6</v>
      </c>
      <c r="T16" s="62">
        <f t="shared" si="5"/>
        <v>1392356.36</v>
      </c>
      <c r="U16" s="62">
        <f t="shared" si="6"/>
        <v>1560704.16</v>
      </c>
      <c r="V16" s="47">
        <f t="shared" si="7"/>
        <v>1901639.91</v>
      </c>
      <c r="W16" s="47">
        <f t="shared" si="8"/>
        <v>4854700.43</v>
      </c>
    </row>
    <row r="17">
      <c r="A17" s="80" t="str">
        <f t="shared" si="31"/>
        <v>AFFC</v>
      </c>
      <c r="B17" s="80" t="str">
        <f t="shared" ref="B17:B25" si="35">B14</f>
        <v/>
      </c>
      <c r="C17" s="79" t="str">
        <f t="shared" si="33"/>
        <v>Ideal</v>
      </c>
      <c r="D17" s="80" t="str">
        <f t="shared" si="32"/>
        <v>bruto</v>
      </c>
      <c r="E17" s="80" t="str">
        <f t="shared" si="22"/>
        <v>DIFERENÇA</v>
      </c>
      <c r="F17" s="80" t="str">
        <f t="shared" si="3"/>
        <v>AFFC</v>
      </c>
      <c r="G17" s="80" t="str">
        <f t="shared" si="4"/>
        <v>Ideal (bruto) | DIFERENÇA</v>
      </c>
      <c r="H17" s="62">
        <f t="shared" ref="H17:S17" si="34">H14-H$14</f>
        <v>0</v>
      </c>
      <c r="I17" s="62">
        <f t="shared" si="34"/>
        <v>0</v>
      </c>
      <c r="J17" s="62">
        <f t="shared" si="34"/>
        <v>0</v>
      </c>
      <c r="K17" s="62">
        <f t="shared" si="34"/>
        <v>0</v>
      </c>
      <c r="L17" s="62">
        <f t="shared" si="34"/>
        <v>0</v>
      </c>
      <c r="M17" s="62">
        <f t="shared" si="34"/>
        <v>0</v>
      </c>
      <c r="N17" s="62">
        <f t="shared" si="34"/>
        <v>0</v>
      </c>
      <c r="O17" s="62">
        <f t="shared" si="34"/>
        <v>0</v>
      </c>
      <c r="P17" s="62">
        <f t="shared" si="34"/>
        <v>0</v>
      </c>
      <c r="Q17" s="62">
        <f t="shared" si="34"/>
        <v>0</v>
      </c>
      <c r="R17" s="62">
        <f t="shared" si="34"/>
        <v>0</v>
      </c>
      <c r="S17" s="62">
        <f t="shared" si="34"/>
        <v>0</v>
      </c>
      <c r="T17" s="62">
        <f t="shared" si="5"/>
        <v>0</v>
      </c>
      <c r="U17" s="62">
        <f t="shared" si="6"/>
        <v>0</v>
      </c>
      <c r="V17" s="47">
        <f t="shared" si="7"/>
        <v>0</v>
      </c>
      <c r="W17" s="47">
        <f t="shared" si="8"/>
        <v>0</v>
      </c>
    </row>
    <row r="18">
      <c r="A18" s="80" t="str">
        <f t="shared" si="31"/>
        <v>AFRFB</v>
      </c>
      <c r="B18" s="80" t="str">
        <f t="shared" si="35"/>
        <v>sem BEP</v>
      </c>
      <c r="C18" s="79" t="str">
        <f t="shared" si="33"/>
        <v>Ideal</v>
      </c>
      <c r="D18" s="80" t="str">
        <f t="shared" si="32"/>
        <v>bruto</v>
      </c>
      <c r="E18" s="80" t="str">
        <f t="shared" si="22"/>
        <v>DIFERENÇA</v>
      </c>
      <c r="F18" s="80" t="str">
        <f t="shared" si="3"/>
        <v>AFRFB (sem BEP)</v>
      </c>
      <c r="G18" s="80" t="str">
        <f t="shared" si="4"/>
        <v>Ideal (bruto) | DIFERENÇA</v>
      </c>
      <c r="H18" s="62">
        <f t="shared" ref="H18:S18" si="36">H15-H$14</f>
        <v>15403.1</v>
      </c>
      <c r="I18" s="62">
        <f t="shared" si="36"/>
        <v>16941.83</v>
      </c>
      <c r="J18" s="62">
        <f t="shared" si="36"/>
        <v>18066.62</v>
      </c>
      <c r="K18" s="62">
        <f t="shared" si="36"/>
        <v>19206.32</v>
      </c>
      <c r="L18" s="62">
        <f t="shared" si="36"/>
        <v>19206.32</v>
      </c>
      <c r="M18" s="62">
        <f t="shared" si="36"/>
        <v>19206.32</v>
      </c>
      <c r="N18" s="62">
        <f t="shared" si="36"/>
        <v>19206.32</v>
      </c>
      <c r="O18" s="62">
        <f t="shared" si="36"/>
        <v>20416.26</v>
      </c>
      <c r="P18" s="62">
        <f t="shared" si="36"/>
        <v>20934.82</v>
      </c>
      <c r="Q18" s="62">
        <f t="shared" si="36"/>
        <v>23217.7</v>
      </c>
      <c r="R18" s="62">
        <f t="shared" si="36"/>
        <v>25179.83</v>
      </c>
      <c r="S18" s="62">
        <f t="shared" si="36"/>
        <v>25749.5</v>
      </c>
      <c r="T18" s="62">
        <f t="shared" si="5"/>
        <v>69617.87</v>
      </c>
      <c r="U18" s="62">
        <f t="shared" si="6"/>
        <v>78035.22</v>
      </c>
      <c r="V18" s="47">
        <f t="shared" si="7"/>
        <v>95081.85</v>
      </c>
      <c r="W18" s="47">
        <f t="shared" si="8"/>
        <v>242734.94</v>
      </c>
    </row>
    <row r="19">
      <c r="A19" s="80" t="str">
        <f t="shared" si="31"/>
        <v>PFN</v>
      </c>
      <c r="B19" s="80" t="str">
        <f t="shared" si="35"/>
        <v>sem HAS</v>
      </c>
      <c r="C19" s="79" t="str">
        <f t="shared" si="33"/>
        <v>Ideal</v>
      </c>
      <c r="D19" s="80" t="str">
        <f t="shared" si="32"/>
        <v>bruto</v>
      </c>
      <c r="E19" s="80" t="str">
        <f t="shared" si="22"/>
        <v>DIFERENÇA</v>
      </c>
      <c r="F19" s="80" t="str">
        <f t="shared" si="3"/>
        <v>PFN (sem HAS)</v>
      </c>
      <c r="G19" s="80" t="str">
        <f t="shared" si="4"/>
        <v>Ideal (bruto) | DIFERENÇA</v>
      </c>
      <c r="H19" s="62">
        <f t="shared" ref="H19:S19" si="37">H16-H$14</f>
        <v>15403.1</v>
      </c>
      <c r="I19" s="62">
        <f t="shared" si="37"/>
        <v>16941.83</v>
      </c>
      <c r="J19" s="62">
        <f t="shared" si="37"/>
        <v>18066.62</v>
      </c>
      <c r="K19" s="62">
        <f t="shared" si="37"/>
        <v>19206.32</v>
      </c>
      <c r="L19" s="62">
        <f t="shared" si="37"/>
        <v>19206.32</v>
      </c>
      <c r="M19" s="62">
        <f t="shared" si="37"/>
        <v>19206.32</v>
      </c>
      <c r="N19" s="62">
        <f t="shared" si="37"/>
        <v>19206.32</v>
      </c>
      <c r="O19" s="62">
        <f t="shared" si="37"/>
        <v>20416.26</v>
      </c>
      <c r="P19" s="62">
        <f t="shared" si="37"/>
        <v>20934.82</v>
      </c>
      <c r="Q19" s="62">
        <f t="shared" si="37"/>
        <v>23217.7</v>
      </c>
      <c r="R19" s="62">
        <f t="shared" si="37"/>
        <v>25179.83</v>
      </c>
      <c r="S19" s="62">
        <f t="shared" si="37"/>
        <v>25749.5</v>
      </c>
      <c r="T19" s="62">
        <f t="shared" si="5"/>
        <v>69617.87</v>
      </c>
      <c r="U19" s="62">
        <f t="shared" si="6"/>
        <v>78035.22</v>
      </c>
      <c r="V19" s="47">
        <f t="shared" si="7"/>
        <v>95081.85</v>
      </c>
      <c r="W19" s="47">
        <f t="shared" si="8"/>
        <v>242734.94</v>
      </c>
    </row>
    <row r="20">
      <c r="A20" s="80" t="str">
        <f t="shared" si="31"/>
        <v>AFFC</v>
      </c>
      <c r="B20" s="80" t="str">
        <f t="shared" si="35"/>
        <v/>
      </c>
      <c r="C20" s="79" t="str">
        <f t="shared" si="33"/>
        <v>Ideal</v>
      </c>
      <c r="D20" s="80" t="str">
        <f t="shared" si="32"/>
        <v>líquido</v>
      </c>
      <c r="E20" s="80" t="str">
        <f t="shared" si="22"/>
        <v>MONTANTE</v>
      </c>
      <c r="F20" s="80" t="str">
        <f t="shared" si="3"/>
        <v>AFFC</v>
      </c>
      <c r="G20" s="80" t="str">
        <f t="shared" si="4"/>
        <v>Ideal (líquido) | MONTANTE</v>
      </c>
      <c r="H20" s="62">
        <f>HLOOKUP($A20,'Página29'!$A:$E,H$1-2016+2+36,FALSE)</f>
        <v>200429.01</v>
      </c>
      <c r="I20" s="62">
        <f>HLOOKUP($A20,'Página29'!$A:$E,I$1-2016+2+36,FALSE)</f>
        <v>219293.33</v>
      </c>
      <c r="J20" s="62">
        <f>HLOOKUP($A20,'Página29'!$A:$E,J$1-2016+2+36,FALSE)</f>
        <v>233083.65</v>
      </c>
      <c r="K20" s="62">
        <f>HLOOKUP($A20,'Página29'!$A:$E,K$1-2016+2+36,FALSE)</f>
        <v>247055.7</v>
      </c>
      <c r="L20" s="62">
        <f>HLOOKUP($A20,'Página29'!$A:$E,L$1-2016+2+36,FALSE)</f>
        <v>236484.15</v>
      </c>
      <c r="M20" s="62">
        <f>HLOOKUP($A20,'Página29'!$A:$E,M$1-2016+2+36,FALSE)</f>
        <v>235093.72</v>
      </c>
      <c r="N20" s="62">
        <f>HLOOKUP($A20,'Página29'!$A:$E,N$1-2016+2+36,FALSE)</f>
        <v>236028.76</v>
      </c>
      <c r="O20" s="62">
        <f>HLOOKUP($A20,'Página29'!$A:$E,O$1-2016+2+36,FALSE)</f>
        <v>250280.61</v>
      </c>
      <c r="P20" s="62">
        <f>HLOOKUP($A20,'Página29'!$A:$E,P$1-2016+2+36,FALSE)</f>
        <v>256671.47</v>
      </c>
      <c r="Q20" s="62">
        <f>HLOOKUP($A20,'Página29'!$A:$E,Q$1-2016+2+36,FALSE)</f>
        <v>282154.02</v>
      </c>
      <c r="R20" s="62">
        <f>HLOOKUP($A20,'Página29'!$A:$E,R$1-2016+2+36,FALSE)</f>
        <v>304046.96</v>
      </c>
      <c r="S20" s="62">
        <f>HLOOKUP($A20,'Página29'!$A:$E,S$1-2016+2+36,FALSE)</f>
        <v>310403.18</v>
      </c>
      <c r="T20" s="62">
        <f t="shared" si="5"/>
        <v>899861.69</v>
      </c>
      <c r="U20" s="62">
        <f t="shared" si="6"/>
        <v>957887.24</v>
      </c>
      <c r="V20" s="47">
        <f t="shared" si="7"/>
        <v>1153275.63</v>
      </c>
      <c r="W20" s="47">
        <f t="shared" si="8"/>
        <v>3011024.56</v>
      </c>
    </row>
    <row r="21">
      <c r="A21" s="80" t="str">
        <f t="shared" si="31"/>
        <v>AFRFB</v>
      </c>
      <c r="B21" s="80" t="str">
        <f t="shared" si="35"/>
        <v>sem BEP</v>
      </c>
      <c r="C21" s="79" t="str">
        <f t="shared" si="33"/>
        <v>Ideal</v>
      </c>
      <c r="D21" s="80" t="str">
        <f t="shared" si="32"/>
        <v>líquido</v>
      </c>
      <c r="E21" s="80" t="str">
        <f t="shared" si="22"/>
        <v>MONTANTE</v>
      </c>
      <c r="F21" s="80" t="str">
        <f t="shared" si="3"/>
        <v>AFRFB (sem BEP)</v>
      </c>
      <c r="G21" s="80" t="str">
        <f t="shared" si="4"/>
        <v>Ideal (líquido) | MONTANTE</v>
      </c>
      <c r="H21" s="62">
        <f>HLOOKUP($A21,'Página29'!$A:$E,H$1-2016+2+36,FALSE)</f>
        <v>210367.83</v>
      </c>
      <c r="I21" s="62">
        <f>HLOOKUP($A21,'Página29'!$A:$E,I$1-2016+2+36,FALSE)</f>
        <v>230225.03</v>
      </c>
      <c r="J21" s="62">
        <f>HLOOKUP($A21,'Página29'!$A:$E,J$1-2016+2+36,FALSE)</f>
        <v>244741.21</v>
      </c>
      <c r="K21" s="62">
        <f>HLOOKUP($A21,'Página29'!$A:$E,K$1-2016+2+36,FALSE)</f>
        <v>259448.58</v>
      </c>
      <c r="L21" s="62">
        <f>HLOOKUP($A21,'Página29'!$A:$E,L$1-2016+2+36,FALSE)</f>
        <v>247930.18</v>
      </c>
      <c r="M21" s="62">
        <f>HLOOKUP($A21,'Página29'!$A:$E,M$1-2016+2+36,FALSE)</f>
        <v>246372.63</v>
      </c>
      <c r="N21" s="62">
        <f>HLOOKUP($A21,'Página29'!$A:$E,N$1-2016+2+36,FALSE)</f>
        <v>247307.56</v>
      </c>
      <c r="O21" s="62">
        <f>HLOOKUP($A21,'Página29'!$A:$E,O$1-2016+2+36,FALSE)</f>
        <v>262270.12</v>
      </c>
      <c r="P21" s="62">
        <f>HLOOKUP($A21,'Página29'!$A:$E,P$1-2016+2+36,FALSE)</f>
        <v>268965.43</v>
      </c>
      <c r="Q21" s="62">
        <f>HLOOKUP($A21,'Página29'!$A:$E,Q$1-2016+2+36,FALSE)</f>
        <v>295788.73</v>
      </c>
      <c r="R21" s="62">
        <f>HLOOKUP($A21,'Página29'!$A:$E,R$1-2016+2+36,FALSE)</f>
        <v>318833.91</v>
      </c>
      <c r="S21" s="62">
        <f>HLOOKUP($A21,'Página29'!$A:$E,S$1-2016+2+36,FALSE)</f>
        <v>325524.66</v>
      </c>
      <c r="T21" s="62">
        <f t="shared" si="5"/>
        <v>944782.65</v>
      </c>
      <c r="U21" s="62">
        <f t="shared" si="6"/>
        <v>1003880.49</v>
      </c>
      <c r="V21" s="47">
        <f t="shared" si="7"/>
        <v>1209112.73</v>
      </c>
      <c r="W21" s="47">
        <f t="shared" si="8"/>
        <v>3157775.87</v>
      </c>
    </row>
    <row r="22">
      <c r="A22" s="80" t="str">
        <f t="shared" si="31"/>
        <v>PFN</v>
      </c>
      <c r="B22" s="80" t="str">
        <f t="shared" si="35"/>
        <v>sem HAS</v>
      </c>
      <c r="C22" s="79" t="str">
        <f t="shared" si="33"/>
        <v>Ideal</v>
      </c>
      <c r="D22" s="80" t="str">
        <f t="shared" si="32"/>
        <v>líquido</v>
      </c>
      <c r="E22" s="80" t="str">
        <f t="shared" si="22"/>
        <v>MONTANTE</v>
      </c>
      <c r="F22" s="80" t="str">
        <f t="shared" si="3"/>
        <v>PFN (sem HAS)</v>
      </c>
      <c r="G22" s="80" t="str">
        <f t="shared" si="4"/>
        <v>Ideal (líquido) | MONTANTE</v>
      </c>
      <c r="H22" s="62">
        <f>HLOOKUP($A22,'Página29'!$A:$E,H$1-2016+2+36,FALSE)</f>
        <v>210367.83</v>
      </c>
      <c r="I22" s="62">
        <f>HLOOKUP($A22,'Página29'!$A:$E,I$1-2016+2+36,FALSE)</f>
        <v>230225.03</v>
      </c>
      <c r="J22" s="62">
        <f>HLOOKUP($A22,'Página29'!$A:$E,J$1-2016+2+36,FALSE)</f>
        <v>244741.21</v>
      </c>
      <c r="K22" s="62">
        <f>HLOOKUP($A22,'Página29'!$A:$E,K$1-2016+2+36,FALSE)</f>
        <v>259448.58</v>
      </c>
      <c r="L22" s="62">
        <f>HLOOKUP($A22,'Página29'!$A:$E,L$1-2016+2+36,FALSE)</f>
        <v>247930.18</v>
      </c>
      <c r="M22" s="62">
        <f>HLOOKUP($A22,'Página29'!$A:$E,M$1-2016+2+36,FALSE)</f>
        <v>246372.63</v>
      </c>
      <c r="N22" s="62">
        <f>HLOOKUP($A22,'Página29'!$A:$E,N$1-2016+2+36,FALSE)</f>
        <v>247307.56</v>
      </c>
      <c r="O22" s="62">
        <f>HLOOKUP($A22,'Página29'!$A:$E,O$1-2016+2+36,FALSE)</f>
        <v>262270.12</v>
      </c>
      <c r="P22" s="62">
        <f>HLOOKUP($A22,'Página29'!$A:$E,P$1-2016+2+36,FALSE)</f>
        <v>268965.43</v>
      </c>
      <c r="Q22" s="62">
        <f>HLOOKUP($A22,'Página29'!$A:$E,Q$1-2016+2+36,FALSE)</f>
        <v>295788.73</v>
      </c>
      <c r="R22" s="62">
        <f>HLOOKUP($A22,'Página29'!$A:$E,R$1-2016+2+36,FALSE)</f>
        <v>318833.91</v>
      </c>
      <c r="S22" s="62">
        <f>HLOOKUP($A22,'Página29'!$A:$E,S$1-2016+2+36,FALSE)</f>
        <v>325524.66</v>
      </c>
      <c r="T22" s="62">
        <f t="shared" si="5"/>
        <v>944782.65</v>
      </c>
      <c r="U22" s="62">
        <f t="shared" si="6"/>
        <v>1003880.49</v>
      </c>
      <c r="V22" s="47">
        <f t="shared" si="7"/>
        <v>1209112.73</v>
      </c>
      <c r="W22" s="47">
        <f t="shared" si="8"/>
        <v>3157775.87</v>
      </c>
    </row>
    <row r="23">
      <c r="A23" s="80" t="str">
        <f t="shared" si="31"/>
        <v>AFFC</v>
      </c>
      <c r="B23" s="80" t="str">
        <f t="shared" si="35"/>
        <v/>
      </c>
      <c r="C23" s="79" t="str">
        <f t="shared" si="33"/>
        <v>Ideal</v>
      </c>
      <c r="D23" s="80" t="str">
        <f t="shared" si="32"/>
        <v>líquido</v>
      </c>
      <c r="E23" s="80" t="str">
        <f t="shared" si="22"/>
        <v>DIFERENÇA</v>
      </c>
      <c r="F23" s="80" t="str">
        <f t="shared" si="3"/>
        <v>AFFC</v>
      </c>
      <c r="G23" s="80" t="str">
        <f t="shared" si="4"/>
        <v>Ideal (líquido) | DIFERENÇA</v>
      </c>
      <c r="H23" s="62">
        <f t="shared" ref="H23:S23" si="38">H20-H$20</f>
        <v>0</v>
      </c>
      <c r="I23" s="62">
        <f t="shared" si="38"/>
        <v>0</v>
      </c>
      <c r="J23" s="62">
        <f t="shared" si="38"/>
        <v>0</v>
      </c>
      <c r="K23" s="62">
        <f t="shared" si="38"/>
        <v>0</v>
      </c>
      <c r="L23" s="62">
        <f t="shared" si="38"/>
        <v>0</v>
      </c>
      <c r="M23" s="62">
        <f t="shared" si="38"/>
        <v>0</v>
      </c>
      <c r="N23" s="62">
        <f t="shared" si="38"/>
        <v>0</v>
      </c>
      <c r="O23" s="62">
        <f t="shared" si="38"/>
        <v>0</v>
      </c>
      <c r="P23" s="62">
        <f t="shared" si="38"/>
        <v>0</v>
      </c>
      <c r="Q23" s="62">
        <f t="shared" si="38"/>
        <v>0</v>
      </c>
      <c r="R23" s="62">
        <f t="shared" si="38"/>
        <v>0</v>
      </c>
      <c r="S23" s="62">
        <f t="shared" si="38"/>
        <v>0</v>
      </c>
      <c r="T23" s="62">
        <f t="shared" si="5"/>
        <v>0</v>
      </c>
      <c r="U23" s="62">
        <f t="shared" si="6"/>
        <v>0</v>
      </c>
      <c r="V23" s="47">
        <f t="shared" si="7"/>
        <v>0</v>
      </c>
      <c r="W23" s="47">
        <f t="shared" si="8"/>
        <v>0</v>
      </c>
    </row>
    <row r="24">
      <c r="A24" s="80" t="str">
        <f t="shared" si="31"/>
        <v>AFRFB</v>
      </c>
      <c r="B24" s="80" t="str">
        <f t="shared" si="35"/>
        <v>sem BEP</v>
      </c>
      <c r="C24" s="79" t="str">
        <f t="shared" si="33"/>
        <v>Ideal</v>
      </c>
      <c r="D24" s="80" t="str">
        <f t="shared" si="32"/>
        <v>líquido</v>
      </c>
      <c r="E24" s="80" t="str">
        <f t="shared" si="22"/>
        <v>DIFERENÇA</v>
      </c>
      <c r="F24" s="80" t="str">
        <f t="shared" si="3"/>
        <v>AFRFB (sem BEP)</v>
      </c>
      <c r="G24" s="80" t="str">
        <f t="shared" si="4"/>
        <v>Ideal (líquido) | DIFERENÇA</v>
      </c>
      <c r="H24" s="62">
        <f t="shared" ref="H24:S24" si="39">H21-H$20</f>
        <v>9938.82</v>
      </c>
      <c r="I24" s="62">
        <f t="shared" si="39"/>
        <v>10931.7</v>
      </c>
      <c r="J24" s="62">
        <f t="shared" si="39"/>
        <v>11657.56</v>
      </c>
      <c r="K24" s="62">
        <f t="shared" si="39"/>
        <v>12392.88</v>
      </c>
      <c r="L24" s="62">
        <f t="shared" si="39"/>
        <v>11446.03</v>
      </c>
      <c r="M24" s="62">
        <f t="shared" si="39"/>
        <v>11278.91</v>
      </c>
      <c r="N24" s="62">
        <f t="shared" si="39"/>
        <v>11278.8</v>
      </c>
      <c r="O24" s="62">
        <f t="shared" si="39"/>
        <v>11989.51</v>
      </c>
      <c r="P24" s="62">
        <f t="shared" si="39"/>
        <v>12293.96</v>
      </c>
      <c r="Q24" s="62">
        <f t="shared" si="39"/>
        <v>13634.71</v>
      </c>
      <c r="R24" s="62">
        <f t="shared" si="39"/>
        <v>14786.95</v>
      </c>
      <c r="S24" s="62">
        <f t="shared" si="39"/>
        <v>15121.48</v>
      </c>
      <c r="T24" s="62">
        <f t="shared" si="5"/>
        <v>44920.96</v>
      </c>
      <c r="U24" s="62">
        <f t="shared" si="6"/>
        <v>45993.25</v>
      </c>
      <c r="V24" s="47">
        <f t="shared" si="7"/>
        <v>55837.1</v>
      </c>
      <c r="W24" s="47">
        <f t="shared" si="8"/>
        <v>146751.31</v>
      </c>
    </row>
    <row r="25">
      <c r="A25" s="80" t="str">
        <f t="shared" si="31"/>
        <v>PFN</v>
      </c>
      <c r="B25" s="80" t="str">
        <f t="shared" si="35"/>
        <v>sem HAS</v>
      </c>
      <c r="C25" s="79" t="str">
        <f t="shared" si="33"/>
        <v>Ideal</v>
      </c>
      <c r="D25" s="80" t="str">
        <f t="shared" si="32"/>
        <v>líquido</v>
      </c>
      <c r="E25" s="80" t="str">
        <f t="shared" si="22"/>
        <v>DIFERENÇA</v>
      </c>
      <c r="F25" s="80" t="str">
        <f t="shared" si="3"/>
        <v>PFN (sem HAS)</v>
      </c>
      <c r="G25" s="80" t="str">
        <f t="shared" si="4"/>
        <v>Ideal (líquido) | DIFERENÇA</v>
      </c>
      <c r="H25" s="62">
        <f t="shared" ref="H25:S25" si="40">H22-H$20</f>
        <v>9938.82</v>
      </c>
      <c r="I25" s="62">
        <f t="shared" si="40"/>
        <v>10931.7</v>
      </c>
      <c r="J25" s="62">
        <f t="shared" si="40"/>
        <v>11657.56</v>
      </c>
      <c r="K25" s="62">
        <f t="shared" si="40"/>
        <v>12392.88</v>
      </c>
      <c r="L25" s="62">
        <f t="shared" si="40"/>
        <v>11446.03</v>
      </c>
      <c r="M25" s="62">
        <f t="shared" si="40"/>
        <v>11278.91</v>
      </c>
      <c r="N25" s="62">
        <f t="shared" si="40"/>
        <v>11278.8</v>
      </c>
      <c r="O25" s="62">
        <f t="shared" si="40"/>
        <v>11989.51</v>
      </c>
      <c r="P25" s="62">
        <f t="shared" si="40"/>
        <v>12293.96</v>
      </c>
      <c r="Q25" s="62">
        <f t="shared" si="40"/>
        <v>13634.71</v>
      </c>
      <c r="R25" s="62">
        <f t="shared" si="40"/>
        <v>14786.95</v>
      </c>
      <c r="S25" s="62">
        <f t="shared" si="40"/>
        <v>15121.48</v>
      </c>
      <c r="T25" s="62">
        <f t="shared" si="5"/>
        <v>44920.96</v>
      </c>
      <c r="U25" s="62">
        <f t="shared" si="6"/>
        <v>45993.25</v>
      </c>
      <c r="V25" s="47">
        <f t="shared" si="7"/>
        <v>55837.1</v>
      </c>
      <c r="W25" s="47">
        <f t="shared" si="8"/>
        <v>146751.31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3" width="11.75"/>
    <col customWidth="1" min="14" max="27" width="12.0"/>
    <col customWidth="1" min="28" max="28" width="5.0"/>
    <col customWidth="1" min="29" max="29" width="18.38"/>
    <col customWidth="1" min="30" max="30" width="5.75"/>
    <col customWidth="1" min="31" max="31" width="7.5"/>
    <col customWidth="1" min="32" max="32" width="5.0"/>
    <col customWidth="1" min="33" max="33" width="17.88"/>
    <col customWidth="1" min="34" max="34" width="6.63"/>
    <col customWidth="1" min="35" max="35" width="8.38"/>
    <col customWidth="1" min="36" max="36" width="7.5"/>
  </cols>
  <sheetData>
    <row r="1">
      <c r="A1" s="32" t="s">
        <v>9</v>
      </c>
      <c r="B1" s="33" t="s">
        <v>131</v>
      </c>
      <c r="C1" s="33" t="s">
        <v>132</v>
      </c>
      <c r="D1" s="33" t="s">
        <v>133</v>
      </c>
      <c r="E1" s="33" t="s">
        <v>134</v>
      </c>
      <c r="F1" s="33" t="s">
        <v>135</v>
      </c>
      <c r="G1" s="33" t="s">
        <v>136</v>
      </c>
      <c r="H1" s="33" t="s">
        <v>137</v>
      </c>
      <c r="I1" s="33" t="s">
        <v>138</v>
      </c>
      <c r="J1" s="33" t="s">
        <v>139</v>
      </c>
      <c r="K1" s="33" t="s">
        <v>140</v>
      </c>
      <c r="L1" s="33" t="s">
        <v>141</v>
      </c>
      <c r="M1" s="33" t="s">
        <v>142</v>
      </c>
      <c r="N1" s="33" t="s">
        <v>143</v>
      </c>
      <c r="O1" s="33" t="s">
        <v>144</v>
      </c>
      <c r="P1" s="33" t="s">
        <v>145</v>
      </c>
      <c r="Q1" s="33" t="s">
        <v>146</v>
      </c>
      <c r="R1" s="33" t="s">
        <v>147</v>
      </c>
      <c r="S1" s="33" t="s">
        <v>148</v>
      </c>
      <c r="T1" s="33" t="s">
        <v>88</v>
      </c>
      <c r="U1" s="33" t="s">
        <v>149</v>
      </c>
      <c r="V1" s="33" t="s">
        <v>150</v>
      </c>
      <c r="W1" s="33" t="s">
        <v>151</v>
      </c>
      <c r="X1" s="33" t="s">
        <v>152</v>
      </c>
      <c r="Y1" s="33" t="s">
        <v>153</v>
      </c>
      <c r="Z1" s="33" t="s">
        <v>154</v>
      </c>
      <c r="AA1" s="33" t="s">
        <v>92</v>
      </c>
      <c r="AJ1" s="47"/>
    </row>
    <row r="2">
      <c r="A2" s="34">
        <v>42370.0</v>
      </c>
      <c r="B2" s="48">
        <f t="shared" ref="B2:B27" si="1">N2+P2</f>
        <v>22516.94</v>
      </c>
      <c r="C2" s="48">
        <f t="shared" ref="C2:C27" si="2">G2/95%</f>
        <v>22516.94737</v>
      </c>
      <c r="D2" s="48">
        <f t="shared" ref="D2:D27" si="3">R2+T2</f>
        <v>22516.88</v>
      </c>
      <c r="E2" s="48">
        <f t="shared" ref="E2:E27" si="4">G2/95%</f>
        <v>22516.94737</v>
      </c>
      <c r="F2" s="48"/>
      <c r="G2" s="48">
        <v>21391.1</v>
      </c>
      <c r="H2" s="48">
        <f t="shared" ref="H2:H27" si="5">U2+ROUND((W2/13.33333)*13,2)</f>
        <v>15398.418</v>
      </c>
      <c r="I2" s="48">
        <f t="shared" ref="I2:I10" si="6">((C2-ROUND(C2*$AD$3,2))*(100%-$AH$7))+$AJ$7</f>
        <v>15398.42334</v>
      </c>
      <c r="J2" s="48">
        <f t="shared" ref="J2:J27" si="7">Y2+ROUND((AA2/13.33333)*12,2)</f>
        <v>15398.3745</v>
      </c>
      <c r="K2" s="48">
        <f t="shared" ref="K2:K10" si="8">((E2-ROUND(E2*$AD$3,2))*(100%-$AH$7))+$AJ$7</f>
        <v>15398.42334</v>
      </c>
      <c r="L2" s="48"/>
      <c r="M2" s="48">
        <f t="shared" ref="M2:M10" si="9">((G2-ROUND(G2*$AD$3,2))*(100%-$AH$7))+$AJ$7</f>
        <v>14671.968</v>
      </c>
      <c r="N2" s="48">
        <v>22516.94</v>
      </c>
      <c r="O2" s="48"/>
      <c r="P2" s="48">
        <v>0.0</v>
      </c>
      <c r="Q2" s="48"/>
      <c r="R2" s="48">
        <v>22516.88</v>
      </c>
      <c r="S2" s="48"/>
      <c r="T2" s="48">
        <v>0.0</v>
      </c>
      <c r="U2" s="48">
        <f t="shared" ref="U2:U10" si="10">((N2-ROUND(N2*$AD$3,2))*(100%-$AH$7))+$AJ$7</f>
        <v>15398.418</v>
      </c>
      <c r="V2" s="48"/>
      <c r="W2" s="48">
        <f t="shared" ref="W2:W16" si="11">P2*(100%-$AH$7)</f>
        <v>0</v>
      </c>
      <c r="X2" s="48"/>
      <c r="Y2" s="48">
        <f t="shared" ref="Y2:Y10" si="12">((R2-ROUND(R2*$AD$3,2))*(100%-$AH$7))+$AJ$7</f>
        <v>15398.3745</v>
      </c>
      <c r="Z2" s="48"/>
      <c r="AA2" s="48">
        <f t="shared" ref="AA2:AA16" si="13">T2*(100%-$AH$7)</f>
        <v>0</v>
      </c>
      <c r="AC2" s="49" t="s">
        <v>65</v>
      </c>
      <c r="AG2" s="50" t="s">
        <v>66</v>
      </c>
      <c r="AJ2" s="47"/>
    </row>
    <row r="3">
      <c r="A3" s="34">
        <v>42583.0</v>
      </c>
      <c r="B3" s="48">
        <f t="shared" si="1"/>
        <v>26755.37</v>
      </c>
      <c r="C3" s="48">
        <f t="shared" si="2"/>
        <v>23755.37895</v>
      </c>
      <c r="D3" s="48">
        <f t="shared" si="3"/>
        <v>22516.88</v>
      </c>
      <c r="E3" s="48">
        <f t="shared" si="4"/>
        <v>23755.37895</v>
      </c>
      <c r="F3" s="48"/>
      <c r="G3" s="48">
        <v>22567.61</v>
      </c>
      <c r="H3" s="48">
        <f t="shared" si="5"/>
        <v>18318.143</v>
      </c>
      <c r="I3" s="48">
        <f t="shared" si="6"/>
        <v>16197.51949</v>
      </c>
      <c r="J3" s="48">
        <f t="shared" si="7"/>
        <v>15398.3745</v>
      </c>
      <c r="K3" s="48">
        <f t="shared" si="8"/>
        <v>16197.51949</v>
      </c>
      <c r="L3" s="48"/>
      <c r="M3" s="48">
        <f t="shared" si="9"/>
        <v>15431.10825</v>
      </c>
      <c r="N3" s="48">
        <v>23755.37</v>
      </c>
      <c r="O3" s="48"/>
      <c r="P3" s="48">
        <v>3000.0</v>
      </c>
      <c r="Q3" s="48"/>
      <c r="R3" s="48">
        <f t="shared" ref="R3:R4" si="14">R2</f>
        <v>22516.88</v>
      </c>
      <c r="S3" s="48"/>
      <c r="T3" s="48">
        <v>0.0</v>
      </c>
      <c r="U3" s="48">
        <f t="shared" si="10"/>
        <v>16197.513</v>
      </c>
      <c r="V3" s="48"/>
      <c r="W3" s="48">
        <f t="shared" si="11"/>
        <v>2175</v>
      </c>
      <c r="X3" s="48"/>
      <c r="Y3" s="48">
        <f t="shared" si="12"/>
        <v>15398.3745</v>
      </c>
      <c r="Z3" s="48"/>
      <c r="AA3" s="48">
        <f t="shared" si="13"/>
        <v>0</v>
      </c>
      <c r="AC3" s="51">
        <v>27369.67</v>
      </c>
      <c r="AD3" s="52">
        <v>0.11</v>
      </c>
      <c r="AE3" s="51">
        <f>ROUND(AC3*AD3,2)</f>
        <v>3010.66</v>
      </c>
      <c r="AG3" s="51">
        <v>1903.98</v>
      </c>
      <c r="AH3" s="53">
        <v>0.0</v>
      </c>
      <c r="AI3" s="51">
        <f>AG3*AH3</f>
        <v>0</v>
      </c>
      <c r="AJ3" s="51">
        <v>0.0</v>
      </c>
    </row>
    <row r="4">
      <c r="A4" s="34">
        <v>42614.0</v>
      </c>
      <c r="B4" s="48">
        <f t="shared" si="1"/>
        <v>26755.37</v>
      </c>
      <c r="C4" s="48">
        <f t="shared" si="2"/>
        <v>23755.37895</v>
      </c>
      <c r="D4" s="48">
        <f t="shared" si="3"/>
        <v>25516.88</v>
      </c>
      <c r="E4" s="48">
        <f t="shared" si="4"/>
        <v>23755.37895</v>
      </c>
      <c r="F4" s="48"/>
      <c r="G4" s="48">
        <f t="shared" ref="G4:G5" si="15">G3</f>
        <v>22567.61</v>
      </c>
      <c r="H4" s="48">
        <f t="shared" si="5"/>
        <v>18318.143</v>
      </c>
      <c r="I4" s="48">
        <f t="shared" si="6"/>
        <v>16197.51949</v>
      </c>
      <c r="J4" s="48">
        <f t="shared" si="7"/>
        <v>17355.8745</v>
      </c>
      <c r="K4" s="48">
        <f t="shared" si="8"/>
        <v>16197.51949</v>
      </c>
      <c r="L4" s="48"/>
      <c r="M4" s="48">
        <f t="shared" si="9"/>
        <v>15431.10825</v>
      </c>
      <c r="N4" s="48">
        <f t="shared" ref="N4:N5" si="16">N3</f>
        <v>23755.37</v>
      </c>
      <c r="O4" s="48"/>
      <c r="P4" s="48">
        <f t="shared" ref="P4:P5" si="17">P3</f>
        <v>3000</v>
      </c>
      <c r="Q4" s="48"/>
      <c r="R4" s="48">
        <f t="shared" si="14"/>
        <v>22516.88</v>
      </c>
      <c r="S4" s="48"/>
      <c r="T4" s="48">
        <v>3000.0</v>
      </c>
      <c r="U4" s="48">
        <f t="shared" si="10"/>
        <v>16197.513</v>
      </c>
      <c r="V4" s="48"/>
      <c r="W4" s="48">
        <f t="shared" si="11"/>
        <v>2175</v>
      </c>
      <c r="X4" s="48"/>
      <c r="Y4" s="48">
        <f t="shared" si="12"/>
        <v>15398.3745</v>
      </c>
      <c r="Z4" s="48"/>
      <c r="AA4" s="48">
        <f t="shared" si="13"/>
        <v>2175</v>
      </c>
      <c r="AG4" s="51">
        <v>2826.65</v>
      </c>
      <c r="AH4" s="53">
        <v>0.075</v>
      </c>
      <c r="AI4" s="51">
        <f t="shared" ref="AI4:AI7" si="18">ROUND((AG4-AG3)*AH4,2)</f>
        <v>69.2</v>
      </c>
      <c r="AJ4" s="51">
        <v>142.8</v>
      </c>
    </row>
    <row r="5">
      <c r="A5" s="34">
        <v>42734.0</v>
      </c>
      <c r="B5" s="48">
        <f t="shared" si="1"/>
        <v>26755.37</v>
      </c>
      <c r="C5" s="48">
        <f t="shared" si="2"/>
        <v>23755.37895</v>
      </c>
      <c r="D5" s="48">
        <f t="shared" si="3"/>
        <v>26755.31</v>
      </c>
      <c r="E5" s="48">
        <f t="shared" si="4"/>
        <v>23755.37895</v>
      </c>
      <c r="F5" s="48"/>
      <c r="G5" s="48">
        <f t="shared" si="15"/>
        <v>22567.61</v>
      </c>
      <c r="H5" s="48">
        <f t="shared" si="5"/>
        <v>18318.143</v>
      </c>
      <c r="I5" s="48">
        <f t="shared" si="6"/>
        <v>16197.51949</v>
      </c>
      <c r="J5" s="48">
        <f t="shared" si="7"/>
        <v>18154.97675</v>
      </c>
      <c r="K5" s="48">
        <f t="shared" si="8"/>
        <v>16197.51949</v>
      </c>
      <c r="L5" s="48"/>
      <c r="M5" s="48">
        <f t="shared" si="9"/>
        <v>15431.10825</v>
      </c>
      <c r="N5" s="48">
        <f t="shared" si="16"/>
        <v>23755.37</v>
      </c>
      <c r="O5" s="48"/>
      <c r="P5" s="48">
        <f t="shared" si="17"/>
        <v>3000</v>
      </c>
      <c r="Q5" s="48"/>
      <c r="R5" s="48">
        <v>23755.31</v>
      </c>
      <c r="S5" s="48"/>
      <c r="T5" s="48">
        <f t="shared" ref="T5:T18" si="19">T4</f>
        <v>3000</v>
      </c>
      <c r="U5" s="48">
        <f t="shared" si="10"/>
        <v>16197.513</v>
      </c>
      <c r="V5" s="48"/>
      <c r="W5" s="48">
        <f t="shared" si="11"/>
        <v>2175</v>
      </c>
      <c r="X5" s="48"/>
      <c r="Y5" s="48">
        <f t="shared" si="12"/>
        <v>16197.47675</v>
      </c>
      <c r="Z5" s="48"/>
      <c r="AA5" s="48">
        <f t="shared" si="13"/>
        <v>2175</v>
      </c>
      <c r="AC5" s="54">
        <f>AE5/AC3</f>
        <v>0.1099998648</v>
      </c>
      <c r="AE5" s="47">
        <f>SUM(AE3)</f>
        <v>3010.66</v>
      </c>
      <c r="AG5" s="51">
        <v>3751.05</v>
      </c>
      <c r="AH5" s="53">
        <v>0.15</v>
      </c>
      <c r="AI5" s="51">
        <f t="shared" si="18"/>
        <v>138.66</v>
      </c>
      <c r="AJ5" s="51">
        <v>354.8</v>
      </c>
    </row>
    <row r="6">
      <c r="A6" s="34">
        <v>42736.0</v>
      </c>
      <c r="B6" s="48">
        <f t="shared" si="1"/>
        <v>28605.64</v>
      </c>
      <c r="C6" s="48">
        <f t="shared" si="2"/>
        <v>25413.32632</v>
      </c>
      <c r="D6" s="48">
        <f t="shared" si="3"/>
        <v>27943.07</v>
      </c>
      <c r="E6" s="48">
        <f t="shared" si="4"/>
        <v>25413.32632</v>
      </c>
      <c r="F6" s="48"/>
      <c r="G6" s="48">
        <v>24142.66</v>
      </c>
      <c r="H6" s="48">
        <f t="shared" si="5"/>
        <v>19552.84775</v>
      </c>
      <c r="I6" s="48">
        <f t="shared" si="6"/>
        <v>17267.30583</v>
      </c>
      <c r="J6" s="48">
        <f t="shared" si="7"/>
        <v>18921.37425</v>
      </c>
      <c r="K6" s="48">
        <f t="shared" si="8"/>
        <v>17267.30583</v>
      </c>
      <c r="L6" s="48"/>
      <c r="M6" s="48">
        <f t="shared" si="9"/>
        <v>16447.41325</v>
      </c>
      <c r="N6" s="48">
        <v>24943.14</v>
      </c>
      <c r="O6" s="48"/>
      <c r="P6" s="48">
        <v>3662.5</v>
      </c>
      <c r="Q6" s="48"/>
      <c r="R6" s="48">
        <v>24943.07</v>
      </c>
      <c r="S6" s="48"/>
      <c r="T6" s="48">
        <f t="shared" si="19"/>
        <v>3000</v>
      </c>
      <c r="U6" s="48">
        <f t="shared" si="10"/>
        <v>16963.91775</v>
      </c>
      <c r="V6" s="48"/>
      <c r="W6" s="48">
        <f t="shared" si="11"/>
        <v>2655.3125</v>
      </c>
      <c r="X6" s="48"/>
      <c r="Y6" s="48">
        <f t="shared" si="12"/>
        <v>16963.87425</v>
      </c>
      <c r="Z6" s="48"/>
      <c r="AA6" s="48">
        <f t="shared" si="13"/>
        <v>2175</v>
      </c>
      <c r="AG6" s="51">
        <v>4664.68</v>
      </c>
      <c r="AH6" s="53">
        <v>0.225</v>
      </c>
      <c r="AI6" s="51">
        <f t="shared" si="18"/>
        <v>205.57</v>
      </c>
      <c r="AJ6" s="51">
        <v>636.13</v>
      </c>
    </row>
    <row r="7">
      <c r="A7" s="34">
        <v>43101.0</v>
      </c>
      <c r="B7" s="48">
        <f t="shared" si="1"/>
        <v>32579.93</v>
      </c>
      <c r="C7" s="48">
        <f t="shared" si="2"/>
        <v>27100.64211</v>
      </c>
      <c r="D7" s="48">
        <f t="shared" si="3"/>
        <v>29127.87</v>
      </c>
      <c r="E7" s="48">
        <f t="shared" si="4"/>
        <v>27100.64211</v>
      </c>
      <c r="F7" s="48"/>
      <c r="G7" s="48">
        <v>25745.61</v>
      </c>
      <c r="H7" s="48">
        <f t="shared" si="5"/>
        <v>22289.16575</v>
      </c>
      <c r="I7" s="48">
        <f t="shared" si="6"/>
        <v>18356.04978</v>
      </c>
      <c r="J7" s="48">
        <f t="shared" si="7"/>
        <v>19685.865</v>
      </c>
      <c r="K7" s="48">
        <f t="shared" si="8"/>
        <v>18356.04978</v>
      </c>
      <c r="L7" s="48"/>
      <c r="M7" s="48">
        <f t="shared" si="9"/>
        <v>17481.71275</v>
      </c>
      <c r="N7" s="48">
        <v>26127.94</v>
      </c>
      <c r="O7" s="48"/>
      <c r="P7" s="48">
        <v>6451.99</v>
      </c>
      <c r="Q7" s="48"/>
      <c r="R7" s="48">
        <v>26127.87</v>
      </c>
      <c r="S7" s="48"/>
      <c r="T7" s="48">
        <f t="shared" si="19"/>
        <v>3000</v>
      </c>
      <c r="U7" s="48">
        <f t="shared" si="10"/>
        <v>17728.41575</v>
      </c>
      <c r="V7" s="48"/>
      <c r="W7" s="48">
        <f t="shared" si="11"/>
        <v>4677.69275</v>
      </c>
      <c r="X7" s="48"/>
      <c r="Y7" s="48">
        <f t="shared" si="12"/>
        <v>17728.365</v>
      </c>
      <c r="Z7" s="48"/>
      <c r="AA7" s="48">
        <f t="shared" si="13"/>
        <v>2175</v>
      </c>
      <c r="AG7" s="51">
        <f>AC3-AE5</f>
        <v>24359.01</v>
      </c>
      <c r="AH7" s="53">
        <v>0.275</v>
      </c>
      <c r="AI7" s="51">
        <f t="shared" si="18"/>
        <v>5415.94</v>
      </c>
      <c r="AJ7" s="51">
        <v>869.36</v>
      </c>
    </row>
    <row r="8">
      <c r="A8" s="34">
        <v>43431.0</v>
      </c>
      <c r="B8" s="48">
        <f t="shared" si="1"/>
        <v>33161.23</v>
      </c>
      <c r="C8" s="48">
        <f t="shared" si="2"/>
        <v>27100.64211</v>
      </c>
      <c r="D8" s="48">
        <f t="shared" si="3"/>
        <v>29127.87</v>
      </c>
      <c r="E8" s="48">
        <f t="shared" si="4"/>
        <v>27100.64211</v>
      </c>
      <c r="F8" s="48"/>
      <c r="G8" s="48">
        <f>G7</f>
        <v>25745.61</v>
      </c>
      <c r="H8" s="48">
        <f t="shared" si="5"/>
        <v>22700.07575</v>
      </c>
      <c r="I8" s="48">
        <f t="shared" si="6"/>
        <v>18356.04978</v>
      </c>
      <c r="J8" s="48">
        <f t="shared" si="7"/>
        <v>19685.865</v>
      </c>
      <c r="K8" s="48">
        <f t="shared" si="8"/>
        <v>18356.04978</v>
      </c>
      <c r="L8" s="48"/>
      <c r="M8" s="48">
        <f t="shared" si="9"/>
        <v>17481.71275</v>
      </c>
      <c r="N8" s="48">
        <f>N7</f>
        <v>26127.94</v>
      </c>
      <c r="O8" s="48"/>
      <c r="P8" s="48">
        <v>7033.29</v>
      </c>
      <c r="Q8" s="48"/>
      <c r="R8" s="48">
        <f>R7</f>
        <v>26127.87</v>
      </c>
      <c r="S8" s="48"/>
      <c r="T8" s="48">
        <f t="shared" si="19"/>
        <v>3000</v>
      </c>
      <c r="U8" s="48">
        <f t="shared" si="10"/>
        <v>17728.41575</v>
      </c>
      <c r="V8" s="48"/>
      <c r="W8" s="48">
        <f t="shared" si="11"/>
        <v>5099.13525</v>
      </c>
      <c r="X8" s="48"/>
      <c r="Y8" s="48">
        <f t="shared" si="12"/>
        <v>17728.365</v>
      </c>
      <c r="Z8" s="48"/>
      <c r="AA8" s="48">
        <f t="shared" si="13"/>
        <v>2175</v>
      </c>
      <c r="AI8" s="47">
        <f>SUM(AI3:AI7)</f>
        <v>5829.37</v>
      </c>
      <c r="AJ8" s="47"/>
    </row>
    <row r="9">
      <c r="A9" s="34">
        <v>43466.0</v>
      </c>
      <c r="B9" s="48">
        <f t="shared" si="1"/>
        <v>34520.05</v>
      </c>
      <c r="C9" s="48">
        <f t="shared" si="2"/>
        <v>28810.17895</v>
      </c>
      <c r="D9" s="48">
        <f t="shared" si="3"/>
        <v>30303.62</v>
      </c>
      <c r="E9" s="48">
        <f t="shared" si="4"/>
        <v>28810.17895</v>
      </c>
      <c r="F9" s="48"/>
      <c r="G9" s="48">
        <v>27369.67</v>
      </c>
      <c r="H9" s="48">
        <f t="shared" si="5"/>
        <v>23588.13025</v>
      </c>
      <c r="I9" s="48">
        <f t="shared" si="6"/>
        <v>19459.12774</v>
      </c>
      <c r="J9" s="48">
        <f t="shared" si="7"/>
        <v>20444.5195</v>
      </c>
      <c r="K9" s="48">
        <f t="shared" si="8"/>
        <v>19459.12774</v>
      </c>
      <c r="L9" s="48"/>
      <c r="M9" s="48">
        <f t="shared" si="9"/>
        <v>18529.64225</v>
      </c>
      <c r="N9" s="48">
        <v>27303.7</v>
      </c>
      <c r="O9" s="48"/>
      <c r="P9" s="48">
        <v>7216.35</v>
      </c>
      <c r="Q9" s="48"/>
      <c r="R9" s="48">
        <v>27303.62</v>
      </c>
      <c r="S9" s="48"/>
      <c r="T9" s="48">
        <f t="shared" si="19"/>
        <v>3000</v>
      </c>
      <c r="U9" s="48">
        <f t="shared" si="10"/>
        <v>18487.07025</v>
      </c>
      <c r="V9" s="48"/>
      <c r="W9" s="48">
        <f t="shared" si="11"/>
        <v>5231.85375</v>
      </c>
      <c r="X9" s="48"/>
      <c r="Y9" s="48">
        <f t="shared" si="12"/>
        <v>18487.0195</v>
      </c>
      <c r="Z9" s="48"/>
      <c r="AA9" s="48">
        <f t="shared" si="13"/>
        <v>2175</v>
      </c>
      <c r="AG9" s="47">
        <f>AG7*AH7-AJ7</f>
        <v>5829.36775</v>
      </c>
      <c r="AH9" s="55">
        <f>AG9-AI8</f>
        <v>-0.00225</v>
      </c>
    </row>
    <row r="10">
      <c r="A10" s="34">
        <v>43831.0</v>
      </c>
      <c r="B10" s="48">
        <f t="shared" si="1"/>
        <v>35153.7</v>
      </c>
      <c r="C10" s="48">
        <f t="shared" si="2"/>
        <v>28810.17895</v>
      </c>
      <c r="D10" s="48">
        <f t="shared" si="3"/>
        <v>30303.62</v>
      </c>
      <c r="E10" s="48">
        <f t="shared" si="4"/>
        <v>28810.17895</v>
      </c>
      <c r="F10" s="48"/>
      <c r="G10" s="48">
        <f t="shared" ref="G10:G16" si="20">G9</f>
        <v>27369.67</v>
      </c>
      <c r="H10" s="48">
        <f t="shared" si="5"/>
        <v>24036.04025</v>
      </c>
      <c r="I10" s="48">
        <f t="shared" si="6"/>
        <v>19459.12774</v>
      </c>
      <c r="J10" s="48">
        <f t="shared" si="7"/>
        <v>20444.5195</v>
      </c>
      <c r="K10" s="48">
        <f t="shared" si="8"/>
        <v>19459.12774</v>
      </c>
      <c r="L10" s="48"/>
      <c r="M10" s="48">
        <f t="shared" si="9"/>
        <v>18529.64225</v>
      </c>
      <c r="N10" s="48">
        <f t="shared" ref="N10:N16" si="21">N9</f>
        <v>27303.7</v>
      </c>
      <c r="O10" s="48"/>
      <c r="P10" s="48">
        <v>7850.0</v>
      </c>
      <c r="Q10" s="48"/>
      <c r="R10" s="48">
        <f t="shared" ref="R10:R16" si="22">R9</f>
        <v>27303.62</v>
      </c>
      <c r="S10" s="48"/>
      <c r="T10" s="48">
        <f t="shared" si="19"/>
        <v>3000</v>
      </c>
      <c r="U10" s="48">
        <f t="shared" si="10"/>
        <v>18487.07025</v>
      </c>
      <c r="V10" s="48"/>
      <c r="W10" s="48">
        <f t="shared" si="11"/>
        <v>5691.25</v>
      </c>
      <c r="X10" s="48"/>
      <c r="Y10" s="48">
        <f t="shared" si="12"/>
        <v>18487.0195</v>
      </c>
      <c r="Z10" s="48"/>
      <c r="AA10" s="48">
        <f t="shared" si="13"/>
        <v>2175</v>
      </c>
      <c r="AG10" s="54">
        <f>AI10/AC3</f>
        <v>0.6770136432</v>
      </c>
      <c r="AH10" s="54">
        <f>AI8/AG7</f>
        <v>0.2393106288</v>
      </c>
      <c r="AI10" s="47">
        <f>AG7-AI8</f>
        <v>18529.64</v>
      </c>
    </row>
    <row r="11">
      <c r="A11" s="34">
        <v>43891.0</v>
      </c>
      <c r="B11" s="48">
        <f t="shared" si="1"/>
        <v>35444.4</v>
      </c>
      <c r="C11" s="48">
        <f t="shared" si="2"/>
        <v>28810.17895</v>
      </c>
      <c r="D11" s="48">
        <f t="shared" si="3"/>
        <v>30303.62</v>
      </c>
      <c r="E11" s="48">
        <f t="shared" si="4"/>
        <v>28810.17895</v>
      </c>
      <c r="F11" s="48"/>
      <c r="G11" s="48">
        <f t="shared" si="20"/>
        <v>27369.67</v>
      </c>
      <c r="H11" s="48">
        <f t="shared" si="5"/>
        <v>23312.5515</v>
      </c>
      <c r="I11" s="48">
        <f>((C11-(ROUND((C11-$AC$18)*$AD$19,2)+SUM($AE$13:$AE$18)))*(100%-$AH$7))+$AJ$7</f>
        <v>18442.77199</v>
      </c>
      <c r="J11" s="48">
        <f t="shared" si="7"/>
        <v>19515.54075</v>
      </c>
      <c r="K11" s="48">
        <f>((E11-(ROUND((E11-$AC$18)*$AD$19,2)+SUM($AE$13:$AE$18)))*(100%-$AH$7))+$AJ$7</f>
        <v>18442.77199</v>
      </c>
      <c r="L11" s="48"/>
      <c r="M11" s="48">
        <f>((G11-(ROUND((G11-$AC$18)*$AD$19,2)+SUM($AE$13:$AE$18)))*(100%-$AH$7))+$AJ$7</f>
        <v>17596.82825</v>
      </c>
      <c r="N11" s="48">
        <f t="shared" si="21"/>
        <v>27303.7</v>
      </c>
      <c r="O11" s="48"/>
      <c r="P11" s="48">
        <f>P10+ROUND((P12-P10)/12*2,2)</f>
        <v>8140.7</v>
      </c>
      <c r="Q11" s="48"/>
      <c r="R11" s="48">
        <f t="shared" si="22"/>
        <v>27303.62</v>
      </c>
      <c r="S11" s="48"/>
      <c r="T11" s="48">
        <f t="shared" si="19"/>
        <v>3000</v>
      </c>
      <c r="U11" s="48">
        <f>((N11-(ROUND((N11-$AC$18)*$AD$19,2)+SUM($AE$13:$AE$18)))*(100%-$AH$7))+$AJ$7</f>
        <v>17558.0915</v>
      </c>
      <c r="V11" s="48"/>
      <c r="W11" s="48">
        <f t="shared" si="11"/>
        <v>5902.0075</v>
      </c>
      <c r="X11" s="48"/>
      <c r="Y11" s="48">
        <f>((R11-(ROUND((R11-$AC$18)*$AD$19,2)+SUM($AE$13:$AE$18)))*(100%-$AH$7))+$AJ$7</f>
        <v>17558.04075</v>
      </c>
      <c r="Z11" s="48"/>
      <c r="AA11" s="48">
        <f t="shared" si="13"/>
        <v>2175</v>
      </c>
    </row>
    <row r="12">
      <c r="A12" s="34">
        <v>44197.0</v>
      </c>
      <c r="B12" s="48">
        <f t="shared" si="1"/>
        <v>36897.9</v>
      </c>
      <c r="C12" s="48">
        <f t="shared" si="2"/>
        <v>28810.17895</v>
      </c>
      <c r="D12" s="48">
        <f t="shared" si="3"/>
        <v>30303.62</v>
      </c>
      <c r="E12" s="48">
        <f t="shared" si="4"/>
        <v>28810.17895</v>
      </c>
      <c r="F12" s="48"/>
      <c r="G12" s="48">
        <f t="shared" si="20"/>
        <v>27369.67</v>
      </c>
      <c r="H12" s="48">
        <f t="shared" si="5"/>
        <v>24375.62525</v>
      </c>
      <c r="I12" s="48">
        <f>((C12-(ROUND((C12-$AC$30)*$AD$31,2)+SUM($AE$25:$AE$30)))*(100%-$AH$7))+$AJ$7</f>
        <v>18478.40574</v>
      </c>
      <c r="J12" s="48">
        <f t="shared" si="7"/>
        <v>19551.18175</v>
      </c>
      <c r="K12" s="48">
        <f>((E12-(ROUND((E12-$AC$30)*$AD$31,2)+SUM($AE$25:$AE$30)))*(100%-$AH$7))+$AJ$7</f>
        <v>18478.40574</v>
      </c>
      <c r="L12" s="48"/>
      <c r="M12" s="48">
        <f>((G12-(ROUND((G12-$AC$30)*$AD$31,2)+SUM($AE$25:$AE$30)))*(100%-$AH$7))+$AJ$7</f>
        <v>17632.46925</v>
      </c>
      <c r="N12" s="48">
        <f t="shared" si="21"/>
        <v>27303.7</v>
      </c>
      <c r="O12" s="48"/>
      <c r="P12" s="48">
        <v>9594.2</v>
      </c>
      <c r="Q12" s="48"/>
      <c r="R12" s="48">
        <f t="shared" si="22"/>
        <v>27303.62</v>
      </c>
      <c r="S12" s="48"/>
      <c r="T12" s="48">
        <f t="shared" si="19"/>
        <v>3000</v>
      </c>
      <c r="U12" s="48">
        <f>((N12-(ROUND((N12-$AC$30)*$AD$31,2)+SUM($AE$25:$AE$30)))*(100%-$AH$7))+$AJ$7</f>
        <v>17593.72525</v>
      </c>
      <c r="V12" s="48"/>
      <c r="W12" s="48">
        <f t="shared" si="11"/>
        <v>6955.795</v>
      </c>
      <c r="X12" s="48"/>
      <c r="Y12" s="48">
        <f>((R12-(ROUND((R12-$AC$30)*$AD$31,2)+SUM($AE$25:$AE$30)))*(100%-$AH$7))+$AJ$7</f>
        <v>17593.68175</v>
      </c>
      <c r="Z12" s="48"/>
      <c r="AA12" s="48">
        <f t="shared" si="13"/>
        <v>2175</v>
      </c>
      <c r="AC12" s="49" t="s">
        <v>67</v>
      </c>
      <c r="AD12" s="56"/>
      <c r="AE12" s="56"/>
      <c r="AG12" s="50" t="s">
        <v>66</v>
      </c>
      <c r="AJ12" s="47"/>
    </row>
    <row r="13">
      <c r="A13" s="34">
        <v>44562.0</v>
      </c>
      <c r="B13" s="48">
        <f t="shared" si="1"/>
        <v>39130.31</v>
      </c>
      <c r="C13" s="48">
        <f t="shared" si="2"/>
        <v>28810.17895</v>
      </c>
      <c r="D13" s="48">
        <f t="shared" si="3"/>
        <v>30303.62</v>
      </c>
      <c r="E13" s="48">
        <f t="shared" si="4"/>
        <v>28810.17895</v>
      </c>
      <c r="F13" s="48"/>
      <c r="G13" s="48">
        <f t="shared" si="20"/>
        <v>27369.67</v>
      </c>
      <c r="H13" s="48">
        <f t="shared" si="5"/>
        <v>26023.80175</v>
      </c>
      <c r="I13" s="48">
        <f>((C13-(ROUND((C13-$AC$42)*$AD$43,2)+SUM($AE$37:$AE$42)))*(100%-$AH$7))+$AJ$7</f>
        <v>18548.53499</v>
      </c>
      <c r="J13" s="48">
        <f t="shared" si="7"/>
        <v>19621.311</v>
      </c>
      <c r="K13" s="48">
        <f>((E13-(ROUND((E13-$AC$42)*$AD$43,2)+SUM($AE$37:$AE$42)))*(100%-$AH$7))+$AJ$7</f>
        <v>18548.53499</v>
      </c>
      <c r="L13" s="48"/>
      <c r="M13" s="48">
        <f>((G13-(ROUND((G13-$AC$42)*$AD$43,2)+SUM($AE$37:$AE$42)))*(100%-$AH$7))+$AJ$7</f>
        <v>17702.5985</v>
      </c>
      <c r="N13" s="57">
        <f t="shared" si="21"/>
        <v>27303.7</v>
      </c>
      <c r="O13" s="48"/>
      <c r="P13" s="48">
        <v>11826.61</v>
      </c>
      <c r="Q13" s="48"/>
      <c r="R13" s="48">
        <f t="shared" si="22"/>
        <v>27303.62</v>
      </c>
      <c r="S13" s="48"/>
      <c r="T13" s="48">
        <f t="shared" si="19"/>
        <v>3000</v>
      </c>
      <c r="U13" s="48">
        <f>((N13-(ROUND((N13-$AC$42)*$AD$43,2)+SUM($AE$37:$AE$42)))*(100%-$AH$7))+$AJ$7</f>
        <v>17663.86175</v>
      </c>
      <c r="V13" s="48"/>
      <c r="W13" s="48">
        <f t="shared" si="11"/>
        <v>8574.29225</v>
      </c>
      <c r="X13" s="48"/>
      <c r="Y13" s="48">
        <f>((R13-(ROUND((R13-$AC$42)*$AD$43,2)+SUM($AE$37:$AE$42)))*(100%-$AH$7))+$AJ$7</f>
        <v>17663.811</v>
      </c>
      <c r="Z13" s="48"/>
      <c r="AA13" s="48">
        <f t="shared" si="13"/>
        <v>2175</v>
      </c>
      <c r="AC13" s="51">
        <v>1045.0</v>
      </c>
      <c r="AD13" s="52">
        <v>0.075</v>
      </c>
      <c r="AE13" s="51">
        <f>ROUND(AC13*AD13,2)</f>
        <v>78.38</v>
      </c>
      <c r="AG13" s="51">
        <v>1903.98</v>
      </c>
      <c r="AH13" s="53">
        <v>0.0</v>
      </c>
      <c r="AI13" s="51">
        <f>AG13*AH13</f>
        <v>0</v>
      </c>
      <c r="AJ13" s="51">
        <v>0.0</v>
      </c>
    </row>
    <row r="14">
      <c r="A14" s="34">
        <v>44927.0</v>
      </c>
      <c r="B14" s="48">
        <f t="shared" si="1"/>
        <v>39290.95</v>
      </c>
      <c r="C14" s="48">
        <f t="shared" si="2"/>
        <v>28810.17895</v>
      </c>
      <c r="D14" s="48">
        <f t="shared" si="3"/>
        <v>30303.62</v>
      </c>
      <c r="E14" s="48">
        <f t="shared" si="4"/>
        <v>28810.17895</v>
      </c>
      <c r="F14" s="48"/>
      <c r="G14" s="48">
        <f t="shared" si="20"/>
        <v>27369.67</v>
      </c>
      <c r="H14" s="48">
        <f t="shared" si="5"/>
        <v>26182.63525</v>
      </c>
      <c r="I14" s="48">
        <f t="shared" ref="I14:I16" si="23">((C14-(ROUND((C14-$AC$54)*$AD$55,2)+SUM($AE$49:$AE$54)))*(100%-$AH$7))+$AJ$7</f>
        <v>18593.81849</v>
      </c>
      <c r="J14" s="48">
        <f t="shared" si="7"/>
        <v>19666.5945</v>
      </c>
      <c r="K14" s="48">
        <f t="shared" ref="K14:K16" si="24">((E14-(ROUND((E14-$AC$54)*$AD$55,2)+SUM($AE$49:$AE$54)))*(100%-$AH$7))+$AJ$7</f>
        <v>18593.81849</v>
      </c>
      <c r="L14" s="48"/>
      <c r="M14" s="48">
        <f t="shared" ref="M14:M16" si="25">((G14-(ROUND((G14-$AC$54)*$AD$55,2)+SUM($AE$49:$AE$54)))*(100%-$AH$7))+$AJ$7</f>
        <v>17747.882</v>
      </c>
      <c r="N14" s="57">
        <f t="shared" si="21"/>
        <v>27303.7</v>
      </c>
      <c r="O14" s="48"/>
      <c r="P14" s="48">
        <v>11987.25</v>
      </c>
      <c r="Q14" s="48"/>
      <c r="R14" s="48">
        <f t="shared" si="22"/>
        <v>27303.62</v>
      </c>
      <c r="S14" s="48"/>
      <c r="T14" s="48">
        <f t="shared" si="19"/>
        <v>3000</v>
      </c>
      <c r="U14" s="48">
        <f t="shared" ref="U14:U16" si="26">((N14-(ROUND((N14-$AC$54)*$AD$55,2)+SUM($AE$49:$AE$54)))*(100%-$AH$7))+$AJ$7</f>
        <v>17709.14525</v>
      </c>
      <c r="V14" s="48"/>
      <c r="W14" s="48">
        <f t="shared" si="11"/>
        <v>8690.75625</v>
      </c>
      <c r="X14" s="48"/>
      <c r="Y14" s="48">
        <f t="shared" ref="Y14:Y16" si="27">((R14-(ROUND((R14-$AC$54)*$AD$55,2)+SUM($AE$49:$AE$54)))*(100%-$AH$7))+$AJ$7</f>
        <v>17709.0945</v>
      </c>
      <c r="Z14" s="48"/>
      <c r="AA14" s="48">
        <f t="shared" si="13"/>
        <v>2175</v>
      </c>
      <c r="AC14" s="51">
        <v>2089.6</v>
      </c>
      <c r="AD14" s="52">
        <v>0.09</v>
      </c>
      <c r="AE14" s="51">
        <f t="shared" ref="AE14:AE19" si="28">ROUND((AC14-AC13)*AD14,2)</f>
        <v>94.01</v>
      </c>
      <c r="AG14" s="51">
        <v>2826.65</v>
      </c>
      <c r="AH14" s="53">
        <v>0.075</v>
      </c>
      <c r="AI14" s="51">
        <f t="shared" ref="AI14:AI17" si="29">ROUND((AG14-AG13)*AH14,2)</f>
        <v>69.2</v>
      </c>
      <c r="AJ14" s="51">
        <v>142.8</v>
      </c>
    </row>
    <row r="15">
      <c r="A15" s="34">
        <v>44958.0</v>
      </c>
      <c r="B15" s="48">
        <f t="shared" si="1"/>
        <v>39293.32</v>
      </c>
      <c r="C15" s="48">
        <f t="shared" si="2"/>
        <v>28810.17895</v>
      </c>
      <c r="D15" s="48">
        <f t="shared" si="3"/>
        <v>30303.62</v>
      </c>
      <c r="E15" s="48">
        <f t="shared" si="4"/>
        <v>28810.17895</v>
      </c>
      <c r="F15" s="48"/>
      <c r="G15" s="48">
        <f t="shared" si="20"/>
        <v>27369.67</v>
      </c>
      <c r="H15" s="48">
        <f t="shared" si="5"/>
        <v>26184.30525</v>
      </c>
      <c r="I15" s="48">
        <f t="shared" si="23"/>
        <v>18593.81849</v>
      </c>
      <c r="J15" s="48">
        <f t="shared" si="7"/>
        <v>19666.5945</v>
      </c>
      <c r="K15" s="48">
        <f t="shared" si="24"/>
        <v>18593.81849</v>
      </c>
      <c r="L15" s="48"/>
      <c r="M15" s="48">
        <f t="shared" si="25"/>
        <v>17747.882</v>
      </c>
      <c r="N15" s="57">
        <f t="shared" si="21"/>
        <v>27303.7</v>
      </c>
      <c r="O15" s="48"/>
      <c r="P15" s="48">
        <f>11991.46-1.84</f>
        <v>11989.62</v>
      </c>
      <c r="Q15" s="48"/>
      <c r="R15" s="48">
        <f t="shared" si="22"/>
        <v>27303.62</v>
      </c>
      <c r="S15" s="48"/>
      <c r="T15" s="48">
        <f t="shared" si="19"/>
        <v>3000</v>
      </c>
      <c r="U15" s="48">
        <f t="shared" si="26"/>
        <v>17709.14525</v>
      </c>
      <c r="V15" s="48"/>
      <c r="W15" s="48">
        <f t="shared" si="11"/>
        <v>8692.4745</v>
      </c>
      <c r="X15" s="48"/>
      <c r="Y15" s="48">
        <f t="shared" si="27"/>
        <v>17709.0945</v>
      </c>
      <c r="Z15" s="48"/>
      <c r="AA15" s="48">
        <f t="shared" si="13"/>
        <v>2175</v>
      </c>
      <c r="AC15" s="51">
        <v>3134.4</v>
      </c>
      <c r="AD15" s="52">
        <v>0.12</v>
      </c>
      <c r="AE15" s="51">
        <f t="shared" si="28"/>
        <v>125.38</v>
      </c>
      <c r="AG15" s="51">
        <v>3751.05</v>
      </c>
      <c r="AH15" s="53">
        <v>0.15</v>
      </c>
      <c r="AI15" s="51">
        <f t="shared" si="29"/>
        <v>138.66</v>
      </c>
      <c r="AJ15" s="51">
        <v>354.8</v>
      </c>
    </row>
    <row r="16">
      <c r="A16" s="34">
        <v>45017.0</v>
      </c>
      <c r="B16" s="48">
        <f t="shared" si="1"/>
        <v>41402.53</v>
      </c>
      <c r="C16" s="48">
        <f t="shared" si="2"/>
        <v>28810.17895</v>
      </c>
      <c r="D16" s="48">
        <f t="shared" si="3"/>
        <v>30303.62</v>
      </c>
      <c r="E16" s="48">
        <f t="shared" si="4"/>
        <v>28810.17895</v>
      </c>
      <c r="F16" s="48"/>
      <c r="G16" s="48">
        <f t="shared" si="20"/>
        <v>27369.67</v>
      </c>
      <c r="H16" s="48">
        <f t="shared" si="5"/>
        <v>27675.25525</v>
      </c>
      <c r="I16" s="48">
        <f t="shared" si="23"/>
        <v>18593.81849</v>
      </c>
      <c r="J16" s="48">
        <f t="shared" si="7"/>
        <v>19666.5945</v>
      </c>
      <c r="K16" s="48">
        <f t="shared" si="24"/>
        <v>18593.81849</v>
      </c>
      <c r="L16" s="48"/>
      <c r="M16" s="48">
        <f t="shared" si="25"/>
        <v>17747.882</v>
      </c>
      <c r="N16" s="48">
        <f t="shared" si="21"/>
        <v>27303.7</v>
      </c>
      <c r="O16" s="48"/>
      <c r="P16" s="48">
        <v>14098.83</v>
      </c>
      <c r="Q16" s="48"/>
      <c r="R16" s="48">
        <f t="shared" si="22"/>
        <v>27303.62</v>
      </c>
      <c r="S16" s="48"/>
      <c r="T16" s="48">
        <f t="shared" si="19"/>
        <v>3000</v>
      </c>
      <c r="U16" s="48">
        <f t="shared" si="26"/>
        <v>17709.14525</v>
      </c>
      <c r="V16" s="48"/>
      <c r="W16" s="48">
        <f t="shared" si="11"/>
        <v>10221.65175</v>
      </c>
      <c r="X16" s="48"/>
      <c r="Y16" s="48">
        <f t="shared" si="27"/>
        <v>17709.0945</v>
      </c>
      <c r="Z16" s="48"/>
      <c r="AA16" s="48">
        <f t="shared" si="13"/>
        <v>2175</v>
      </c>
      <c r="AC16" s="51">
        <v>6106.06</v>
      </c>
      <c r="AD16" s="52">
        <v>0.14</v>
      </c>
      <c r="AE16" s="51">
        <f t="shared" si="28"/>
        <v>416.03</v>
      </c>
      <c r="AG16" s="51">
        <v>4664.68</v>
      </c>
      <c r="AH16" s="53">
        <v>0.225</v>
      </c>
      <c r="AI16" s="51">
        <f t="shared" si="29"/>
        <v>205.57</v>
      </c>
      <c r="AJ16" s="51">
        <v>636.13</v>
      </c>
    </row>
    <row r="17">
      <c r="A17" s="34">
        <v>45047.0</v>
      </c>
      <c r="B17" s="48">
        <f t="shared" si="1"/>
        <v>41650.92</v>
      </c>
      <c r="C17" s="48">
        <f t="shared" si="2"/>
        <v>31403.09474</v>
      </c>
      <c r="D17" s="48">
        <f t="shared" si="3"/>
        <v>32760.95</v>
      </c>
      <c r="E17" s="48">
        <f t="shared" si="4"/>
        <v>31403.09474</v>
      </c>
      <c r="F17" s="48"/>
      <c r="G17" s="48">
        <f>ROUND(27369.67*1.09,2)</f>
        <v>29832.94</v>
      </c>
      <c r="H17" s="48">
        <f t="shared" si="5"/>
        <v>27572.67275</v>
      </c>
      <c r="I17" s="48">
        <f>((C17-(ROUND((C17-$AC$66)*$AD$67,2)+SUM($AE$61:$AE$66)))*(100%-$AH$65))+$AJ$65</f>
        <v>20132.30693</v>
      </c>
      <c r="J17" s="48">
        <f t="shared" si="7"/>
        <v>21125.45925</v>
      </c>
      <c r="K17" s="48">
        <f>((E17-(ROUND((E17-$AC$66)*$AD$67,2)+SUM($AE$61:$AE$66)))*(100%-$AH$65))+$AJ$65</f>
        <v>20132.30693</v>
      </c>
      <c r="L17" s="48"/>
      <c r="M17" s="48">
        <f>((G17-(ROUND((G17-$AC$66)*$AD$67,2)+SUM($AE$61:$AE$66)))*(100%-$AH$65))+$AJ$65</f>
        <v>19210.234</v>
      </c>
      <c r="N17" s="48">
        <f>ROUND(27303.7*1.09,2)</f>
        <v>29761.03</v>
      </c>
      <c r="O17" s="48"/>
      <c r="P17" s="48">
        <f>12064.89-175</f>
        <v>11889.89</v>
      </c>
      <c r="Q17" s="48"/>
      <c r="R17" s="48">
        <f>ROUND(27303.62*1.09,2)</f>
        <v>29760.95</v>
      </c>
      <c r="S17" s="48"/>
      <c r="T17" s="48">
        <f t="shared" si="19"/>
        <v>3000</v>
      </c>
      <c r="U17" s="48">
        <f>((N17-(ROUND((N17-$AC$66)*$AD$67,2)+SUM($AE$61:$AE$66)))*(100%-$AH$65))+$AJ$65</f>
        <v>19168.00275</v>
      </c>
      <c r="V17" s="48"/>
      <c r="W17" s="48">
        <f t="shared" ref="W17:W18" si="30">P17*(100%-$AH$65)</f>
        <v>8620.17025</v>
      </c>
      <c r="X17" s="48"/>
      <c r="Y17" s="48">
        <f>((R17-(ROUND((R17-$AC$66)*$AD$67,2)+SUM($AE$61:$AE$66)))*(100%-$AH$65))+$AJ$65</f>
        <v>19167.95925</v>
      </c>
      <c r="Z17" s="48"/>
      <c r="AA17" s="48">
        <f t="shared" ref="AA17:AA18" si="31">T17*(100%-$AH$65)</f>
        <v>2175</v>
      </c>
      <c r="AC17" s="51">
        <v>10448.0</v>
      </c>
      <c r="AD17" s="52">
        <v>0.145</v>
      </c>
      <c r="AE17" s="51">
        <f t="shared" si="28"/>
        <v>629.58</v>
      </c>
      <c r="AG17" s="51">
        <f>AC19-AE22</f>
        <v>23072.37</v>
      </c>
      <c r="AH17" s="53">
        <v>0.275</v>
      </c>
      <c r="AI17" s="51">
        <f t="shared" si="29"/>
        <v>5062.11</v>
      </c>
      <c r="AJ17" s="51">
        <v>869.36</v>
      </c>
    </row>
    <row r="18">
      <c r="A18" s="34">
        <v>45292.0</v>
      </c>
      <c r="B18" s="48">
        <f t="shared" si="1"/>
        <v>41650.92</v>
      </c>
      <c r="C18" s="48">
        <f t="shared" si="2"/>
        <v>31403.09474</v>
      </c>
      <c r="D18" s="48">
        <f t="shared" si="3"/>
        <v>32760.95</v>
      </c>
      <c r="E18" s="48">
        <f t="shared" si="4"/>
        <v>31403.09474</v>
      </c>
      <c r="F18" s="48"/>
      <c r="G18" s="48">
        <v>29832.94</v>
      </c>
      <c r="H18" s="48">
        <f t="shared" si="5"/>
        <v>27603.06475</v>
      </c>
      <c r="I18" s="48">
        <f>((C18-(ROUND((C18-$AC$78)*$AD$79,2)+SUM($AE$73:$AE$78)))*(100%-$AH$65))+$AJ$65</f>
        <v>20162.69893</v>
      </c>
      <c r="J18" s="48">
        <f t="shared" si="7"/>
        <v>21155.85125</v>
      </c>
      <c r="K18" s="48">
        <f>((E18-(ROUND((E18-$AC$78)*$AD$79,2)+SUM($AE$73:$AE$78)))*(100%-$AH$65))+$AJ$65</f>
        <v>20162.69893</v>
      </c>
      <c r="L18" s="48"/>
      <c r="M18" s="48">
        <f>((G18-(ROUND((G18-$AC$78)*$AD$79,2)+SUM($AE$73:$AE$78)))*(100%-$AH$65))+$AJ$65</f>
        <v>19240.626</v>
      </c>
      <c r="N18" s="48">
        <v>29761.03</v>
      </c>
      <c r="O18" s="48"/>
      <c r="P18" s="48">
        <f>14283.83-2393.94</f>
        <v>11889.89</v>
      </c>
      <c r="Q18" s="48"/>
      <c r="R18" s="48">
        <v>29760.95</v>
      </c>
      <c r="S18" s="48"/>
      <c r="T18" s="48">
        <f t="shared" si="19"/>
        <v>3000</v>
      </c>
      <c r="U18" s="48">
        <f>((N18-(ROUND((N18-$AC$78)*$AD$79,2)+SUM($AE$73:$AE$78)))*(100%-$AH$65))+$AJ$65</f>
        <v>19198.39475</v>
      </c>
      <c r="V18" s="48"/>
      <c r="W18" s="48">
        <f t="shared" si="30"/>
        <v>8620.17025</v>
      </c>
      <c r="X18" s="48"/>
      <c r="Y18" s="48">
        <f>((R18-(ROUND((R18-$AC$78)*$AD$79,2)+SUM($AE$73:$AE$78)))*(100%-$AH$65))+$AJ$65</f>
        <v>19198.35125</v>
      </c>
      <c r="Z18" s="48"/>
      <c r="AA18" s="48">
        <f t="shared" si="31"/>
        <v>2175</v>
      </c>
      <c r="AC18" s="51">
        <v>20896.0</v>
      </c>
      <c r="AD18" s="52">
        <v>0.165</v>
      </c>
      <c r="AE18" s="51">
        <f t="shared" si="28"/>
        <v>1723.92</v>
      </c>
      <c r="AI18" s="47">
        <f>SUM(AI13:AI17)</f>
        <v>5475.54</v>
      </c>
      <c r="AJ18" s="47"/>
    </row>
    <row r="19">
      <c r="A19" s="34">
        <v>45323.0</v>
      </c>
      <c r="B19" s="48">
        <f t="shared" si="1"/>
        <v>44008.52</v>
      </c>
      <c r="C19" s="48">
        <f t="shared" si="2"/>
        <v>31403.09474</v>
      </c>
      <c r="D19" s="48">
        <f t="shared" si="3"/>
        <v>34260.95</v>
      </c>
      <c r="E19" s="48">
        <f t="shared" si="4"/>
        <v>31403.09474</v>
      </c>
      <c r="F19" s="48"/>
      <c r="G19" s="48">
        <f t="shared" ref="G19:G20" si="32">G18</f>
        <v>29832.94</v>
      </c>
      <c r="H19" s="48">
        <f t="shared" si="5"/>
        <v>29280.63475</v>
      </c>
      <c r="I19" s="48">
        <f t="shared" ref="I19:I27" si="33">((C19-(ROUND((C19-$AC$78)*$AD$79,2)+SUM($AE$73:$AE$78)))*(100%-$AH$77))+$AJ$77</f>
        <v>20173.73893</v>
      </c>
      <c r="J19" s="48">
        <f t="shared" si="7"/>
        <v>22145.64125</v>
      </c>
      <c r="K19" s="48">
        <f t="shared" ref="K19:K27" si="34">((E19-(ROUND((E19-$AC$78)*$AD$79,2)+SUM($AE$73:$AE$78)))*(100%-$AH$77))+$AJ$77</f>
        <v>20173.73893</v>
      </c>
      <c r="L19" s="48"/>
      <c r="M19" s="48">
        <f t="shared" ref="M19:M27" si="35">((G19-(ROUND((G19-$AC$78)*$AD$79,2)+SUM($AE$73:$AE$78)))*(100%-$AH$77))+$AJ$77</f>
        <v>19251.666</v>
      </c>
      <c r="N19" s="48">
        <f t="shared" ref="N19:N27" si="36">N18</f>
        <v>29761.03</v>
      </c>
      <c r="O19" s="48"/>
      <c r="P19" s="48">
        <v>14247.49</v>
      </c>
      <c r="Q19" s="48"/>
      <c r="R19" s="48">
        <f t="shared" ref="R19:R27" si="37">R18</f>
        <v>29760.95</v>
      </c>
      <c r="S19" s="48"/>
      <c r="T19" s="48">
        <v>4500.0</v>
      </c>
      <c r="U19" s="48">
        <f t="shared" ref="U19:U27" si="38">((N19-(ROUND((N19-$AC$78)*$AD$79,2)+SUM($AE$73:$AE$78)))*(100%-$AH$77))+$AJ$77</f>
        <v>19209.43475</v>
      </c>
      <c r="V19" s="48"/>
      <c r="W19" s="48">
        <f t="shared" ref="W19:W27" si="39">P19*(100%-$AH$77)</f>
        <v>10329.43025</v>
      </c>
      <c r="X19" s="48"/>
      <c r="Y19" s="48">
        <f t="shared" ref="Y19:Y27" si="40">((R19-(ROUND((R19-$AC$78)*$AD$79,2)+SUM($AE$73:$AE$78)))*(100%-$AH$77))+$AJ$77</f>
        <v>19209.39125</v>
      </c>
      <c r="Z19" s="48"/>
      <c r="AA19" s="48">
        <f t="shared" ref="AA19:AA27" si="41">T19*(100%-$AH$77)</f>
        <v>3262.5</v>
      </c>
      <c r="AC19" s="51">
        <v>27369.67</v>
      </c>
      <c r="AD19" s="52">
        <v>0.19</v>
      </c>
      <c r="AE19" s="51">
        <f t="shared" si="28"/>
        <v>1230</v>
      </c>
      <c r="AG19" s="47">
        <f>AG17*AH17-AJ17</f>
        <v>5475.54175</v>
      </c>
      <c r="AH19" s="58">
        <f>AG19-AI18</f>
        <v>0.00175</v>
      </c>
    </row>
    <row r="20">
      <c r="A20" s="34">
        <v>45505.0</v>
      </c>
      <c r="B20" s="48">
        <f t="shared" si="1"/>
        <v>44008.52</v>
      </c>
      <c r="C20" s="48">
        <f t="shared" si="2"/>
        <v>31403.09474</v>
      </c>
      <c r="D20" s="48">
        <f t="shared" si="3"/>
        <v>34760.95</v>
      </c>
      <c r="E20" s="48">
        <f t="shared" si="4"/>
        <v>31403.09474</v>
      </c>
      <c r="F20" s="48"/>
      <c r="G20" s="48">
        <f t="shared" si="32"/>
        <v>29832.94</v>
      </c>
      <c r="H20" s="48">
        <f t="shared" si="5"/>
        <v>29280.63475</v>
      </c>
      <c r="I20" s="48">
        <f t="shared" si="33"/>
        <v>20173.73893</v>
      </c>
      <c r="J20" s="48">
        <f t="shared" si="7"/>
        <v>22471.89125</v>
      </c>
      <c r="K20" s="48">
        <f t="shared" si="34"/>
        <v>20173.73893</v>
      </c>
      <c r="L20" s="48"/>
      <c r="M20" s="48">
        <f t="shared" si="35"/>
        <v>19251.666</v>
      </c>
      <c r="N20" s="48">
        <f t="shared" si="36"/>
        <v>29761.03</v>
      </c>
      <c r="O20" s="48"/>
      <c r="P20" s="48">
        <f>P19</f>
        <v>14247.49</v>
      </c>
      <c r="Q20" s="48"/>
      <c r="R20" s="48">
        <f t="shared" si="37"/>
        <v>29760.95</v>
      </c>
      <c r="S20" s="48"/>
      <c r="T20" s="48">
        <v>5000.0</v>
      </c>
      <c r="U20" s="48">
        <f t="shared" si="38"/>
        <v>19209.43475</v>
      </c>
      <c r="V20" s="48"/>
      <c r="W20" s="48">
        <f t="shared" si="39"/>
        <v>10329.43025</v>
      </c>
      <c r="X20" s="48"/>
      <c r="Y20" s="48">
        <f t="shared" si="40"/>
        <v>19209.39125</v>
      </c>
      <c r="Z20" s="48"/>
      <c r="AA20" s="48">
        <f t="shared" si="41"/>
        <v>3625</v>
      </c>
      <c r="AC20" s="51">
        <v>40747.2</v>
      </c>
      <c r="AD20" s="52">
        <v>0.22</v>
      </c>
      <c r="AE20" s="51"/>
      <c r="AG20" s="54">
        <f>AI20/AC19</f>
        <v>0.6429317562</v>
      </c>
      <c r="AH20" s="54">
        <f>AI18/AG17</f>
        <v>0.2373202233</v>
      </c>
      <c r="AI20" s="47">
        <f>AG17-AI18</f>
        <v>17596.83</v>
      </c>
    </row>
    <row r="21">
      <c r="A21" s="34">
        <v>45658.0</v>
      </c>
      <c r="B21" s="48">
        <f t="shared" si="1"/>
        <v>44008.52</v>
      </c>
      <c r="C21" s="48">
        <f t="shared" si="2"/>
        <v>34827.47368</v>
      </c>
      <c r="D21" s="48">
        <f t="shared" si="3"/>
        <v>34760.95</v>
      </c>
      <c r="E21" s="48">
        <f t="shared" si="4"/>
        <v>34827.47368</v>
      </c>
      <c r="F21" s="48"/>
      <c r="G21" s="48">
        <v>33086.1</v>
      </c>
      <c r="H21" s="48">
        <f t="shared" si="5"/>
        <v>29280.63475</v>
      </c>
      <c r="I21" s="48">
        <f t="shared" si="33"/>
        <v>22184.70692</v>
      </c>
      <c r="J21" s="48">
        <f t="shared" si="7"/>
        <v>22471.89125</v>
      </c>
      <c r="K21" s="48">
        <f t="shared" si="34"/>
        <v>22184.70692</v>
      </c>
      <c r="L21" s="48"/>
      <c r="M21" s="48">
        <f t="shared" si="35"/>
        <v>21162.0845</v>
      </c>
      <c r="N21" s="48">
        <f t="shared" si="36"/>
        <v>29761.03</v>
      </c>
      <c r="O21" s="48"/>
      <c r="P21" s="48">
        <f>44008.52-N21</f>
        <v>14247.49</v>
      </c>
      <c r="Q21" s="48"/>
      <c r="R21" s="48">
        <f t="shared" si="37"/>
        <v>29760.95</v>
      </c>
      <c r="S21" s="48"/>
      <c r="T21" s="48">
        <f>T20</f>
        <v>5000</v>
      </c>
      <c r="U21" s="48">
        <f t="shared" si="38"/>
        <v>19209.43475</v>
      </c>
      <c r="V21" s="48"/>
      <c r="W21" s="48">
        <f t="shared" si="39"/>
        <v>10329.43025</v>
      </c>
      <c r="X21" s="48"/>
      <c r="Y21" s="48">
        <f t="shared" si="40"/>
        <v>19209.39125</v>
      </c>
      <c r="Z21" s="48"/>
      <c r="AA21" s="48">
        <f t="shared" si="41"/>
        <v>3625</v>
      </c>
    </row>
    <row r="22">
      <c r="A22" s="34">
        <v>45689.0</v>
      </c>
      <c r="B22" s="48">
        <f t="shared" si="1"/>
        <v>46366.19</v>
      </c>
      <c r="C22" s="48">
        <f t="shared" si="2"/>
        <v>34827.47368</v>
      </c>
      <c r="D22" s="48">
        <f t="shared" si="3"/>
        <v>36760.95</v>
      </c>
      <c r="E22" s="48">
        <f t="shared" si="4"/>
        <v>34827.47368</v>
      </c>
      <c r="F22" s="48"/>
      <c r="G22" s="48">
        <f t="shared" ref="G22:G24" si="42">G21</f>
        <v>33086.1</v>
      </c>
      <c r="H22" s="48">
        <f t="shared" si="5"/>
        <v>30947.21475</v>
      </c>
      <c r="I22" s="48">
        <f t="shared" si="33"/>
        <v>22184.70692</v>
      </c>
      <c r="J22" s="48">
        <f t="shared" si="7"/>
        <v>23776.89125</v>
      </c>
      <c r="K22" s="48">
        <f t="shared" si="34"/>
        <v>22184.70692</v>
      </c>
      <c r="L22" s="48"/>
      <c r="M22" s="48">
        <f t="shared" si="35"/>
        <v>21162.0845</v>
      </c>
      <c r="N22" s="48">
        <f t="shared" si="36"/>
        <v>29761.03</v>
      </c>
      <c r="O22" s="48"/>
      <c r="P22" s="48">
        <f>46366.19-N22</f>
        <v>16605.16</v>
      </c>
      <c r="Q22" s="48"/>
      <c r="R22" s="48">
        <f t="shared" si="37"/>
        <v>29760.95</v>
      </c>
      <c r="S22" s="48"/>
      <c r="T22" s="48">
        <v>7000.0</v>
      </c>
      <c r="U22" s="48">
        <f t="shared" si="38"/>
        <v>19209.43475</v>
      </c>
      <c r="V22" s="48"/>
      <c r="W22" s="48">
        <f t="shared" si="39"/>
        <v>12038.741</v>
      </c>
      <c r="X22" s="48"/>
      <c r="Y22" s="48">
        <f t="shared" si="40"/>
        <v>19209.39125</v>
      </c>
      <c r="Z22" s="48"/>
      <c r="AA22" s="48">
        <f t="shared" si="41"/>
        <v>5075</v>
      </c>
      <c r="AC22" s="54">
        <f>AE22/AC19</f>
        <v>0.1570095657</v>
      </c>
      <c r="AE22" s="47">
        <f>SUM(AE13:AE20)</f>
        <v>4297.3</v>
      </c>
    </row>
    <row r="23">
      <c r="A23" s="34">
        <v>45778.0</v>
      </c>
      <c r="B23" s="48">
        <f t="shared" si="1"/>
        <v>46366.19</v>
      </c>
      <c r="C23" s="48">
        <f t="shared" si="2"/>
        <v>34827.47368</v>
      </c>
      <c r="D23" s="48">
        <f t="shared" si="3"/>
        <v>36760.95</v>
      </c>
      <c r="E23" s="48">
        <f t="shared" si="4"/>
        <v>34827.47368</v>
      </c>
      <c r="F23" s="48"/>
      <c r="G23" s="48">
        <f t="shared" si="42"/>
        <v>33086.1</v>
      </c>
      <c r="H23" s="48">
        <f t="shared" si="5"/>
        <v>30947.21475</v>
      </c>
      <c r="I23" s="48">
        <f t="shared" si="33"/>
        <v>22184.70692</v>
      </c>
      <c r="J23" s="48">
        <f t="shared" si="7"/>
        <v>23776.89125</v>
      </c>
      <c r="K23" s="48">
        <f t="shared" si="34"/>
        <v>22184.70692</v>
      </c>
      <c r="L23" s="48"/>
      <c r="M23" s="48">
        <f t="shared" si="35"/>
        <v>21162.0845</v>
      </c>
      <c r="N23" s="48">
        <f t="shared" si="36"/>
        <v>29761.03</v>
      </c>
      <c r="O23" s="48"/>
      <c r="P23" s="48">
        <f t="shared" ref="P23:P27" si="43">P22</f>
        <v>16605.16</v>
      </c>
      <c r="Q23" s="48"/>
      <c r="R23" s="48">
        <f t="shared" si="37"/>
        <v>29760.95</v>
      </c>
      <c r="S23" s="48"/>
      <c r="T23" s="48">
        <f t="shared" ref="T23:T24" si="44">T22</f>
        <v>7000</v>
      </c>
      <c r="U23" s="48">
        <f t="shared" si="38"/>
        <v>19209.43475</v>
      </c>
      <c r="V23" s="48"/>
      <c r="W23" s="48">
        <f t="shared" si="39"/>
        <v>12038.741</v>
      </c>
      <c r="X23" s="48"/>
      <c r="Y23" s="48">
        <f t="shared" si="40"/>
        <v>19209.39125</v>
      </c>
      <c r="Z23" s="48"/>
      <c r="AA23" s="48">
        <f t="shared" si="41"/>
        <v>5075</v>
      </c>
      <c r="AC23" s="56"/>
      <c r="AD23" s="56"/>
      <c r="AE23" s="56"/>
    </row>
    <row r="24">
      <c r="A24" s="34">
        <v>46054.0</v>
      </c>
      <c r="B24" s="48">
        <f t="shared" si="1"/>
        <v>46366.19</v>
      </c>
      <c r="C24" s="48">
        <f t="shared" si="2"/>
        <v>34827.47368</v>
      </c>
      <c r="D24" s="48">
        <f t="shared" si="3"/>
        <v>36760.95</v>
      </c>
      <c r="E24" s="48">
        <f t="shared" si="4"/>
        <v>34827.47368</v>
      </c>
      <c r="F24" s="48"/>
      <c r="G24" s="48">
        <f t="shared" si="42"/>
        <v>33086.1</v>
      </c>
      <c r="H24" s="48">
        <f t="shared" si="5"/>
        <v>30947.21475</v>
      </c>
      <c r="I24" s="48">
        <f t="shared" si="33"/>
        <v>22184.70692</v>
      </c>
      <c r="J24" s="48">
        <f t="shared" si="7"/>
        <v>23776.89125</v>
      </c>
      <c r="K24" s="48">
        <f t="shared" si="34"/>
        <v>22184.70692</v>
      </c>
      <c r="L24" s="48"/>
      <c r="M24" s="48">
        <f t="shared" si="35"/>
        <v>21162.0845</v>
      </c>
      <c r="N24" s="48">
        <f t="shared" si="36"/>
        <v>29761.03</v>
      </c>
      <c r="O24" s="48"/>
      <c r="P24" s="48">
        <f t="shared" si="43"/>
        <v>16605.16</v>
      </c>
      <c r="Q24" s="48"/>
      <c r="R24" s="48">
        <f t="shared" si="37"/>
        <v>29760.95</v>
      </c>
      <c r="S24" s="48"/>
      <c r="T24" s="48">
        <f t="shared" si="44"/>
        <v>7000</v>
      </c>
      <c r="U24" s="48">
        <f t="shared" si="38"/>
        <v>19209.43475</v>
      </c>
      <c r="V24" s="48"/>
      <c r="W24" s="48">
        <f t="shared" si="39"/>
        <v>12038.741</v>
      </c>
      <c r="X24" s="48"/>
      <c r="Y24" s="48">
        <f t="shared" si="40"/>
        <v>19209.39125</v>
      </c>
      <c r="Z24" s="48"/>
      <c r="AA24" s="48">
        <f t="shared" si="41"/>
        <v>5075</v>
      </c>
      <c r="AC24" s="49" t="s">
        <v>68</v>
      </c>
      <c r="AD24" s="56"/>
      <c r="AE24" s="56"/>
      <c r="AF24" s="51"/>
      <c r="AG24" s="50" t="s">
        <v>66</v>
      </c>
      <c r="AJ24" s="47"/>
    </row>
    <row r="25">
      <c r="A25" s="34">
        <v>46113.0</v>
      </c>
      <c r="B25" s="48">
        <f t="shared" si="1"/>
        <v>46366.19</v>
      </c>
      <c r="C25" s="48">
        <f t="shared" si="2"/>
        <v>38625.26316</v>
      </c>
      <c r="D25" s="48">
        <f t="shared" si="3"/>
        <v>41260.95</v>
      </c>
      <c r="E25" s="48">
        <f t="shared" si="4"/>
        <v>38625.26316</v>
      </c>
      <c r="F25" s="48"/>
      <c r="G25" s="48">
        <v>36694.0</v>
      </c>
      <c r="H25" s="48">
        <f t="shared" si="5"/>
        <v>30947.21475</v>
      </c>
      <c r="I25" s="48">
        <f t="shared" si="33"/>
        <v>24414.95879</v>
      </c>
      <c r="J25" s="48">
        <f t="shared" si="7"/>
        <v>26713.14125</v>
      </c>
      <c r="K25" s="48">
        <f t="shared" si="34"/>
        <v>24414.95879</v>
      </c>
      <c r="L25" s="48"/>
      <c r="M25" s="48">
        <f t="shared" si="35"/>
        <v>23280.8245</v>
      </c>
      <c r="N25" s="48">
        <f t="shared" si="36"/>
        <v>29761.03</v>
      </c>
      <c r="O25" s="48"/>
      <c r="P25" s="48">
        <f t="shared" si="43"/>
        <v>16605.16</v>
      </c>
      <c r="Q25" s="48"/>
      <c r="R25" s="48">
        <f t="shared" si="37"/>
        <v>29760.95</v>
      </c>
      <c r="S25" s="48"/>
      <c r="T25" s="48">
        <v>11500.0</v>
      </c>
      <c r="U25" s="48">
        <f t="shared" si="38"/>
        <v>19209.43475</v>
      </c>
      <c r="V25" s="48"/>
      <c r="W25" s="48">
        <f t="shared" si="39"/>
        <v>12038.741</v>
      </c>
      <c r="X25" s="48"/>
      <c r="Y25" s="48">
        <f t="shared" si="40"/>
        <v>19209.39125</v>
      </c>
      <c r="Z25" s="48"/>
      <c r="AA25" s="48">
        <f t="shared" si="41"/>
        <v>8337.5</v>
      </c>
      <c r="AC25" s="60">
        <v>1100.0</v>
      </c>
      <c r="AD25" s="61">
        <v>0.075</v>
      </c>
      <c r="AE25" s="62">
        <f>ROUND(AC25*AD25,2)</f>
        <v>82.5</v>
      </c>
      <c r="AF25" s="51"/>
      <c r="AG25" s="51">
        <v>1903.98</v>
      </c>
      <c r="AH25" s="53">
        <v>0.0</v>
      </c>
      <c r="AI25" s="51">
        <f>AG25*AH25</f>
        <v>0</v>
      </c>
      <c r="AJ25" s="51">
        <v>0.0</v>
      </c>
    </row>
    <row r="26">
      <c r="A26" s="34">
        <v>46143.0</v>
      </c>
      <c r="B26" s="48">
        <f t="shared" si="1"/>
        <v>46366.19</v>
      </c>
      <c r="C26" s="48">
        <f t="shared" si="2"/>
        <v>38625.26316</v>
      </c>
      <c r="D26" s="48">
        <f t="shared" si="3"/>
        <v>41260.95</v>
      </c>
      <c r="E26" s="48">
        <f t="shared" si="4"/>
        <v>38625.26316</v>
      </c>
      <c r="F26" s="48"/>
      <c r="G26" s="48">
        <f t="shared" ref="G26:G27" si="45">G25</f>
        <v>36694</v>
      </c>
      <c r="H26" s="48">
        <f t="shared" si="5"/>
        <v>30947.21475</v>
      </c>
      <c r="I26" s="48">
        <f t="shared" si="33"/>
        <v>24414.95879</v>
      </c>
      <c r="J26" s="48">
        <f t="shared" si="7"/>
        <v>26713.14125</v>
      </c>
      <c r="K26" s="48">
        <f t="shared" si="34"/>
        <v>24414.95879</v>
      </c>
      <c r="L26" s="48"/>
      <c r="M26" s="48">
        <f t="shared" si="35"/>
        <v>23280.8245</v>
      </c>
      <c r="N26" s="48">
        <f t="shared" si="36"/>
        <v>29761.03</v>
      </c>
      <c r="O26" s="48"/>
      <c r="P26" s="48">
        <f t="shared" si="43"/>
        <v>16605.16</v>
      </c>
      <c r="Q26" s="48"/>
      <c r="R26" s="48">
        <f t="shared" si="37"/>
        <v>29760.95</v>
      </c>
      <c r="S26" s="48"/>
      <c r="T26" s="48">
        <f>T25</f>
        <v>11500</v>
      </c>
      <c r="U26" s="48">
        <f t="shared" si="38"/>
        <v>19209.43475</v>
      </c>
      <c r="V26" s="48"/>
      <c r="W26" s="48">
        <f t="shared" si="39"/>
        <v>12038.741</v>
      </c>
      <c r="X26" s="48"/>
      <c r="Y26" s="48">
        <f t="shared" si="40"/>
        <v>19209.39125</v>
      </c>
      <c r="Z26" s="48"/>
      <c r="AA26" s="48">
        <f t="shared" si="41"/>
        <v>8337.5</v>
      </c>
      <c r="AC26" s="60">
        <v>2203.48</v>
      </c>
      <c r="AD26" s="61">
        <v>0.09</v>
      </c>
      <c r="AE26" s="62">
        <f t="shared" ref="AE26:AE31" si="46">ROUND((AC26-AC25)*AD26,2)</f>
        <v>99.31</v>
      </c>
      <c r="AF26" s="51"/>
      <c r="AG26" s="51">
        <v>2826.65</v>
      </c>
      <c r="AH26" s="53">
        <v>0.075</v>
      </c>
      <c r="AI26" s="51">
        <f t="shared" ref="AI26:AI29" si="47">ROUND((AG26-AG25)*AH26,2)</f>
        <v>69.2</v>
      </c>
      <c r="AJ26" s="51">
        <v>142.8</v>
      </c>
    </row>
    <row r="27">
      <c r="A27" s="34">
        <v>46419.0</v>
      </c>
      <c r="B27" s="48">
        <f t="shared" si="1"/>
        <v>46366.19</v>
      </c>
      <c r="C27" s="48">
        <f t="shared" si="2"/>
        <v>38625.26316</v>
      </c>
      <c r="D27" s="48">
        <f t="shared" si="3"/>
        <v>41663.45</v>
      </c>
      <c r="E27" s="48">
        <f t="shared" si="4"/>
        <v>38625.26316</v>
      </c>
      <c r="F27" s="59"/>
      <c r="G27" s="59">
        <f t="shared" si="45"/>
        <v>36694</v>
      </c>
      <c r="H27" s="48">
        <f t="shared" si="5"/>
        <v>30947.21475</v>
      </c>
      <c r="I27" s="59">
        <f t="shared" si="33"/>
        <v>24414.95879</v>
      </c>
      <c r="J27" s="48">
        <f t="shared" si="7"/>
        <v>26975.77125</v>
      </c>
      <c r="K27" s="59">
        <f t="shared" si="34"/>
        <v>24414.95879</v>
      </c>
      <c r="L27" s="59"/>
      <c r="M27" s="59">
        <f t="shared" si="35"/>
        <v>23280.8245</v>
      </c>
      <c r="N27" s="48">
        <f t="shared" si="36"/>
        <v>29761.03</v>
      </c>
      <c r="O27" s="48"/>
      <c r="P27" s="48">
        <f t="shared" si="43"/>
        <v>16605.16</v>
      </c>
      <c r="Q27" s="48"/>
      <c r="R27" s="48">
        <f t="shared" si="37"/>
        <v>29760.95</v>
      </c>
      <c r="S27" s="59"/>
      <c r="T27" s="59">
        <f>ROUND(11500*1.035,2)</f>
        <v>11902.5</v>
      </c>
      <c r="U27" s="48">
        <f t="shared" si="38"/>
        <v>19209.43475</v>
      </c>
      <c r="V27" s="48"/>
      <c r="W27" s="48">
        <f t="shared" si="39"/>
        <v>12038.741</v>
      </c>
      <c r="X27" s="59"/>
      <c r="Y27" s="59">
        <f t="shared" si="40"/>
        <v>19209.39125</v>
      </c>
      <c r="Z27" s="59"/>
      <c r="AA27" s="59">
        <f t="shared" si="41"/>
        <v>8629.3125</v>
      </c>
      <c r="AB27" s="49"/>
      <c r="AC27" s="60">
        <v>3305.22</v>
      </c>
      <c r="AD27" s="61">
        <v>0.12</v>
      </c>
      <c r="AE27" s="62">
        <f t="shared" si="46"/>
        <v>132.21</v>
      </c>
      <c r="AF27" s="51"/>
      <c r="AG27" s="51">
        <v>3751.05</v>
      </c>
      <c r="AH27" s="53">
        <v>0.15</v>
      </c>
      <c r="AI27" s="51">
        <f t="shared" si="47"/>
        <v>138.66</v>
      </c>
      <c r="AJ27" s="51">
        <v>354.8</v>
      </c>
    </row>
    <row r="28">
      <c r="A28" s="63"/>
      <c r="B28" s="48"/>
      <c r="C28" s="48"/>
      <c r="D28" s="48"/>
      <c r="E28" s="59"/>
      <c r="F28" s="59"/>
      <c r="G28" s="59"/>
      <c r="H28" s="48"/>
      <c r="I28" s="48"/>
      <c r="J28" s="48"/>
      <c r="K28" s="59"/>
      <c r="L28" s="59"/>
      <c r="M28" s="59"/>
      <c r="N28" s="59"/>
      <c r="O28" s="48"/>
      <c r="P28" s="48"/>
      <c r="Q28" s="59"/>
      <c r="R28" s="59"/>
      <c r="S28" s="59"/>
      <c r="T28" s="59"/>
      <c r="U28" s="48"/>
      <c r="V28" s="48"/>
      <c r="W28" s="48"/>
      <c r="X28" s="59"/>
      <c r="Y28" s="59"/>
      <c r="Z28" s="59"/>
      <c r="AA28" s="59"/>
      <c r="AB28" s="62"/>
      <c r="AC28" s="60">
        <v>6433.57</v>
      </c>
      <c r="AD28" s="61">
        <v>0.14</v>
      </c>
      <c r="AE28" s="62">
        <f t="shared" si="46"/>
        <v>437.97</v>
      </c>
      <c r="AF28" s="51"/>
      <c r="AG28" s="51">
        <v>4664.68</v>
      </c>
      <c r="AH28" s="53">
        <v>0.225</v>
      </c>
      <c r="AI28" s="51">
        <f t="shared" si="47"/>
        <v>205.57</v>
      </c>
      <c r="AJ28" s="51">
        <v>636.13</v>
      </c>
    </row>
    <row r="29">
      <c r="A29" s="63"/>
      <c r="B29" s="48"/>
      <c r="C29" s="70"/>
      <c r="D29" s="70"/>
      <c r="E29" s="71"/>
      <c r="F29" s="72"/>
      <c r="G29" s="72"/>
      <c r="H29" s="48"/>
      <c r="I29" s="70"/>
      <c r="J29" s="70"/>
      <c r="K29" s="71"/>
      <c r="L29" s="59"/>
      <c r="M29" s="59"/>
      <c r="N29" s="59"/>
      <c r="O29" s="48"/>
      <c r="P29" s="48"/>
      <c r="Q29" s="59"/>
      <c r="R29" s="59"/>
      <c r="S29" s="59"/>
      <c r="T29" s="59"/>
      <c r="U29" s="48"/>
      <c r="V29" s="48"/>
      <c r="W29" s="48"/>
      <c r="X29" s="59"/>
      <c r="Y29" s="59"/>
      <c r="Z29" s="59"/>
      <c r="AA29" s="59"/>
      <c r="AB29" s="62"/>
      <c r="AC29" s="60">
        <v>11017.42</v>
      </c>
      <c r="AD29" s="61">
        <v>0.145</v>
      </c>
      <c r="AE29" s="62">
        <f t="shared" si="46"/>
        <v>664.66</v>
      </c>
      <c r="AF29" s="51"/>
      <c r="AG29" s="51">
        <f>AC31-AE34</f>
        <v>23121.53</v>
      </c>
      <c r="AH29" s="53">
        <v>0.275</v>
      </c>
      <c r="AI29" s="51">
        <f t="shared" si="47"/>
        <v>5075.63</v>
      </c>
      <c r="AJ29" s="51">
        <v>869.36</v>
      </c>
    </row>
    <row r="30">
      <c r="A30" s="63"/>
      <c r="B30" s="48"/>
      <c r="C30" s="70"/>
      <c r="D30" s="70"/>
      <c r="E30" s="71"/>
      <c r="F30" s="72"/>
      <c r="G30" s="72"/>
      <c r="H30" s="48"/>
      <c r="I30" s="70"/>
      <c r="J30" s="70"/>
      <c r="K30" s="71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62"/>
      <c r="AC30" s="60">
        <v>22034.83</v>
      </c>
      <c r="AD30" s="61">
        <v>0.165</v>
      </c>
      <c r="AE30" s="62">
        <f t="shared" si="46"/>
        <v>1817.87</v>
      </c>
      <c r="AF30" s="51"/>
      <c r="AI30" s="47">
        <f>SUM(AI25:AI29)</f>
        <v>5489.06</v>
      </c>
      <c r="AJ30" s="47"/>
    </row>
    <row r="31">
      <c r="A31" s="63"/>
      <c r="B31" s="48"/>
      <c r="C31" s="70"/>
      <c r="D31" s="70"/>
      <c r="E31" s="71"/>
      <c r="F31" s="72"/>
      <c r="G31" s="72"/>
      <c r="H31" s="48"/>
      <c r="I31" s="70"/>
      <c r="J31" s="70"/>
      <c r="K31" s="71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62"/>
      <c r="AC31" s="62">
        <v>27369.67</v>
      </c>
      <c r="AD31" s="61">
        <v>0.19</v>
      </c>
      <c r="AE31" s="62">
        <f t="shared" si="46"/>
        <v>1013.62</v>
      </c>
      <c r="AF31" s="51"/>
      <c r="AG31" s="47">
        <f>AG29*AH29-AJ29</f>
        <v>5489.06075</v>
      </c>
      <c r="AH31" s="58">
        <f>AG31-AI30</f>
        <v>0.0007500000002</v>
      </c>
    </row>
    <row r="32">
      <c r="A32" s="63"/>
      <c r="B32" s="48"/>
      <c r="C32" s="70"/>
      <c r="D32" s="70"/>
      <c r="E32" s="71"/>
      <c r="F32" s="72"/>
      <c r="G32" s="72"/>
      <c r="H32" s="48"/>
      <c r="I32" s="70"/>
      <c r="J32" s="70"/>
      <c r="K32" s="71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62"/>
      <c r="AC32" s="60">
        <v>42967.92</v>
      </c>
      <c r="AD32" s="61">
        <v>0.22</v>
      </c>
      <c r="AE32" s="64"/>
      <c r="AG32" s="54">
        <f>AI32/AC31</f>
        <v>0.6442339276</v>
      </c>
      <c r="AH32" s="54">
        <f>AI30/AG29</f>
        <v>0.2374003796</v>
      </c>
      <c r="AI32" s="47">
        <f>AG29-AI30</f>
        <v>17632.47</v>
      </c>
    </row>
    <row r="33">
      <c r="A33" s="63"/>
      <c r="B33" s="48"/>
      <c r="C33" s="70"/>
      <c r="D33" s="70"/>
      <c r="E33" s="71"/>
      <c r="F33" s="72"/>
      <c r="G33" s="72"/>
      <c r="H33" s="48"/>
      <c r="I33" s="70"/>
      <c r="J33" s="70"/>
      <c r="K33" s="71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62"/>
      <c r="AC33" s="56"/>
      <c r="AD33" s="56"/>
      <c r="AE33" s="56"/>
    </row>
    <row r="34">
      <c r="A34" s="63"/>
      <c r="B34" s="48"/>
      <c r="C34" s="70"/>
      <c r="D34" s="70"/>
      <c r="E34" s="71"/>
      <c r="F34" s="72"/>
      <c r="G34" s="72"/>
      <c r="H34" s="48"/>
      <c r="I34" s="70"/>
      <c r="J34" s="70"/>
      <c r="K34" s="7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62"/>
      <c r="AC34" s="61">
        <f>AE34/AC31</f>
        <v>0.1552134169</v>
      </c>
      <c r="AD34" s="56"/>
      <c r="AE34" s="62">
        <f>SUM(AE25:AE32)</f>
        <v>4248.14</v>
      </c>
    </row>
    <row r="35">
      <c r="A35" s="63"/>
      <c r="B35" s="48"/>
      <c r="C35" s="70"/>
      <c r="D35" s="70"/>
      <c r="E35" s="71"/>
      <c r="F35" s="59"/>
      <c r="G35" s="59"/>
      <c r="H35" s="48"/>
      <c r="I35" s="70"/>
      <c r="J35" s="70"/>
      <c r="K35" s="71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62"/>
    </row>
    <row r="36">
      <c r="A36" s="63"/>
      <c r="B36" s="48"/>
      <c r="C36" s="70"/>
      <c r="D36" s="70"/>
      <c r="E36" s="71"/>
      <c r="F36" s="59"/>
      <c r="G36" s="59"/>
      <c r="H36" s="48"/>
      <c r="I36" s="70"/>
      <c r="J36" s="70"/>
      <c r="K36" s="7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6"/>
      <c r="AC36" s="49" t="s">
        <v>69</v>
      </c>
      <c r="AD36" s="56"/>
      <c r="AE36" s="56"/>
      <c r="AG36" s="50" t="s">
        <v>66</v>
      </c>
      <c r="AJ36" s="47"/>
    </row>
    <row r="37">
      <c r="A37" s="63"/>
      <c r="C37" s="70"/>
      <c r="D37" s="55"/>
      <c r="E37" s="71"/>
      <c r="H37" s="48"/>
      <c r="I37" s="70"/>
      <c r="J37" s="55"/>
      <c r="K37" s="71"/>
      <c r="U37" s="48"/>
      <c r="V37" s="48"/>
      <c r="W37" s="48"/>
      <c r="AB37" s="61"/>
      <c r="AC37" s="60">
        <v>1212.0</v>
      </c>
      <c r="AD37" s="61">
        <v>0.075</v>
      </c>
      <c r="AE37" s="62">
        <f>ROUND(AC37*AD37,2)</f>
        <v>90.9</v>
      </c>
      <c r="AG37" s="51">
        <v>1903.98</v>
      </c>
      <c r="AH37" s="53">
        <v>0.0</v>
      </c>
      <c r="AI37" s="51">
        <f>AG37*AH37</f>
        <v>0</v>
      </c>
      <c r="AJ37" s="51">
        <v>0.0</v>
      </c>
    </row>
    <row r="38">
      <c r="A38" s="63"/>
      <c r="C38" s="70"/>
      <c r="D38" s="55"/>
      <c r="E38" s="71"/>
      <c r="H38" s="48"/>
      <c r="I38" s="70"/>
      <c r="J38" s="55"/>
      <c r="K38" s="71"/>
      <c r="U38" s="48"/>
      <c r="V38" s="48"/>
      <c r="W38" s="48"/>
      <c r="AB38" s="56"/>
      <c r="AC38" s="60">
        <v>2427.35</v>
      </c>
      <c r="AD38" s="61">
        <v>0.09</v>
      </c>
      <c r="AE38" s="62">
        <f t="shared" ref="AE38:AE43" si="48">ROUND((AC38-AC37)*AD38,2)</f>
        <v>109.38</v>
      </c>
      <c r="AG38" s="51">
        <v>2826.65</v>
      </c>
      <c r="AH38" s="53">
        <v>0.075</v>
      </c>
      <c r="AI38" s="51">
        <f t="shared" ref="AI38:AI41" si="49">ROUND((AG38-AG37)*AH38,2)</f>
        <v>69.2</v>
      </c>
      <c r="AJ38" s="51">
        <v>142.8</v>
      </c>
    </row>
    <row r="39">
      <c r="A39" s="63"/>
      <c r="C39" s="70"/>
      <c r="D39" s="55"/>
      <c r="E39" s="71"/>
      <c r="I39" s="70"/>
      <c r="J39" s="55"/>
      <c r="K39" s="71"/>
      <c r="AB39" s="56"/>
      <c r="AC39" s="60">
        <v>3641.03</v>
      </c>
      <c r="AD39" s="61">
        <v>0.12</v>
      </c>
      <c r="AE39" s="62">
        <f t="shared" si="48"/>
        <v>145.64</v>
      </c>
      <c r="AG39" s="51">
        <v>3751.05</v>
      </c>
      <c r="AH39" s="53">
        <v>0.15</v>
      </c>
      <c r="AI39" s="51">
        <f t="shared" si="49"/>
        <v>138.66</v>
      </c>
      <c r="AJ39" s="51">
        <v>354.8</v>
      </c>
    </row>
    <row r="40">
      <c r="A40" s="63"/>
      <c r="C40" s="70"/>
      <c r="D40" s="55"/>
      <c r="E40" s="71"/>
      <c r="I40" s="70"/>
      <c r="J40" s="55"/>
      <c r="K40" s="71"/>
      <c r="AB40" s="49"/>
      <c r="AC40" s="60">
        <v>7087.22</v>
      </c>
      <c r="AD40" s="61">
        <v>0.14</v>
      </c>
      <c r="AE40" s="62">
        <f t="shared" si="48"/>
        <v>482.47</v>
      </c>
      <c r="AG40" s="51">
        <v>4664.68</v>
      </c>
      <c r="AH40" s="53">
        <v>0.225</v>
      </c>
      <c r="AI40" s="51">
        <f t="shared" si="49"/>
        <v>205.57</v>
      </c>
      <c r="AJ40" s="51">
        <v>636.13</v>
      </c>
    </row>
    <row r="41">
      <c r="A41" s="63"/>
      <c r="C41" s="70"/>
      <c r="D41" s="55"/>
      <c r="E41" s="71"/>
      <c r="I41" s="70"/>
      <c r="J41" s="55"/>
      <c r="K41" s="71"/>
      <c r="AB41" s="62"/>
      <c r="AC41" s="60">
        <v>12136.79</v>
      </c>
      <c r="AD41" s="61">
        <v>0.145</v>
      </c>
      <c r="AE41" s="62">
        <f t="shared" si="48"/>
        <v>732.19</v>
      </c>
      <c r="AG41" s="51">
        <f>AC43-AE46</f>
        <v>23218.26</v>
      </c>
      <c r="AH41" s="53">
        <v>0.275</v>
      </c>
      <c r="AI41" s="51">
        <f t="shared" si="49"/>
        <v>5102.23</v>
      </c>
      <c r="AJ41" s="51">
        <v>869.36</v>
      </c>
    </row>
    <row r="42">
      <c r="A42" s="63"/>
      <c r="C42" s="70"/>
      <c r="D42" s="55"/>
      <c r="E42" s="71"/>
      <c r="I42" s="70"/>
      <c r="J42" s="55"/>
      <c r="K42" s="71"/>
      <c r="AB42" s="62"/>
      <c r="AC42" s="60">
        <v>24273.57</v>
      </c>
      <c r="AD42" s="61">
        <v>0.165</v>
      </c>
      <c r="AE42" s="62">
        <f t="shared" si="48"/>
        <v>2002.57</v>
      </c>
      <c r="AI42" s="47">
        <f>SUM(AI37:AI41)</f>
        <v>5515.66</v>
      </c>
      <c r="AJ42" s="47"/>
    </row>
    <row r="43">
      <c r="A43" s="63"/>
      <c r="C43" s="70"/>
      <c r="D43" s="55"/>
      <c r="E43" s="71"/>
      <c r="I43" s="70"/>
      <c r="J43" s="55"/>
      <c r="K43" s="71"/>
      <c r="AB43" s="62"/>
      <c r="AC43" s="62">
        <v>27369.67</v>
      </c>
      <c r="AD43" s="61">
        <v>0.19</v>
      </c>
      <c r="AE43" s="62">
        <f t="shared" si="48"/>
        <v>588.26</v>
      </c>
      <c r="AG43" s="47">
        <f>AG41*AH41-AJ41</f>
        <v>5515.6615</v>
      </c>
      <c r="AH43" s="58">
        <f>AG43-AI42</f>
        <v>0.0015</v>
      </c>
    </row>
    <row r="44">
      <c r="A44" s="65"/>
      <c r="C44" s="70"/>
      <c r="D44" s="55"/>
      <c r="E44" s="71"/>
      <c r="I44" s="70"/>
      <c r="J44" s="55"/>
      <c r="K44" s="71"/>
      <c r="AB44" s="62"/>
      <c r="AC44" s="60">
        <v>47333.46</v>
      </c>
      <c r="AD44" s="61">
        <v>0.22</v>
      </c>
      <c r="AE44" s="64"/>
      <c r="AG44" s="54">
        <f>AI44/AC43</f>
        <v>0.6467962529</v>
      </c>
      <c r="AH44" s="54">
        <f>AI42/AG41</f>
        <v>0.2375569918</v>
      </c>
      <c r="AI44" s="47">
        <f>AG41-AI42</f>
        <v>17702.6</v>
      </c>
    </row>
    <row r="45">
      <c r="A45" s="65"/>
      <c r="C45" s="70"/>
      <c r="D45" s="55"/>
      <c r="E45" s="71"/>
      <c r="I45" s="70"/>
      <c r="J45" s="55"/>
      <c r="K45" s="71"/>
      <c r="AB45" s="62"/>
      <c r="AC45" s="56"/>
      <c r="AD45" s="56"/>
      <c r="AE45" s="56"/>
    </row>
    <row r="46">
      <c r="A46" s="65"/>
      <c r="C46" s="70"/>
      <c r="D46" s="55"/>
      <c r="E46" s="71"/>
      <c r="I46" s="70"/>
      <c r="J46" s="55"/>
      <c r="K46" s="71"/>
      <c r="AB46" s="62"/>
      <c r="AC46" s="61">
        <f>AE46/AC43</f>
        <v>0.1516792128</v>
      </c>
      <c r="AD46" s="56"/>
      <c r="AE46" s="62">
        <f>SUM(AE37:AE44)</f>
        <v>4151.41</v>
      </c>
    </row>
    <row r="47">
      <c r="C47" s="70"/>
      <c r="D47" s="55"/>
      <c r="E47" s="71"/>
      <c r="I47" s="70"/>
      <c r="J47" s="55"/>
      <c r="K47" s="71"/>
      <c r="AB47" s="62"/>
    </row>
    <row r="48">
      <c r="C48" s="70"/>
      <c r="D48" s="55"/>
      <c r="E48" s="71"/>
      <c r="I48" s="70"/>
      <c r="J48" s="55"/>
      <c r="K48" s="71"/>
      <c r="AB48" s="62"/>
      <c r="AC48" s="49" t="s">
        <v>70</v>
      </c>
      <c r="AD48" s="56"/>
      <c r="AE48" s="56"/>
      <c r="AG48" s="50" t="s">
        <v>66</v>
      </c>
      <c r="AJ48" s="47"/>
    </row>
    <row r="49">
      <c r="C49" s="70"/>
      <c r="D49" s="55"/>
      <c r="E49" s="71"/>
      <c r="I49" s="70"/>
      <c r="J49" s="55"/>
      <c r="K49" s="71"/>
      <c r="AB49" s="56"/>
      <c r="AC49" s="60">
        <v>1302.0</v>
      </c>
      <c r="AD49" s="61">
        <v>0.075</v>
      </c>
      <c r="AE49" s="62">
        <f>ROUND(AC49*AD49,2)</f>
        <v>97.65</v>
      </c>
      <c r="AG49" s="51">
        <v>1903.98</v>
      </c>
      <c r="AH49" s="53">
        <v>0.0</v>
      </c>
      <c r="AI49" s="51">
        <f>AG49*AH49</f>
        <v>0</v>
      </c>
      <c r="AJ49" s="51">
        <v>0.0</v>
      </c>
    </row>
    <row r="50">
      <c r="C50" s="70"/>
      <c r="D50" s="55"/>
      <c r="E50" s="71"/>
      <c r="I50" s="70"/>
      <c r="J50" s="55"/>
      <c r="K50" s="71"/>
      <c r="AB50" s="61"/>
      <c r="AC50" s="60">
        <v>2571.29</v>
      </c>
      <c r="AD50" s="61">
        <v>0.09</v>
      </c>
      <c r="AE50" s="62">
        <f t="shared" ref="AE50:AE55" si="50">ROUND((AC50-AC49)*AD50,2)</f>
        <v>114.24</v>
      </c>
      <c r="AG50" s="51">
        <v>2826.65</v>
      </c>
      <c r="AH50" s="53">
        <v>0.075</v>
      </c>
      <c r="AI50" s="51">
        <f t="shared" ref="AI50:AI53" si="51">ROUND((AG50-AG49)*AH50,2)</f>
        <v>69.2</v>
      </c>
      <c r="AJ50" s="51">
        <v>142.8</v>
      </c>
    </row>
    <row r="51">
      <c r="C51" s="70"/>
      <c r="D51" s="55"/>
      <c r="E51" s="71"/>
      <c r="I51" s="70"/>
      <c r="J51" s="55"/>
      <c r="K51" s="71"/>
      <c r="AB51" s="56"/>
      <c r="AC51" s="60">
        <v>3856.94</v>
      </c>
      <c r="AD51" s="61">
        <v>0.12</v>
      </c>
      <c r="AE51" s="62">
        <f t="shared" si="50"/>
        <v>154.28</v>
      </c>
      <c r="AG51" s="51">
        <v>3751.05</v>
      </c>
      <c r="AH51" s="53">
        <v>0.15</v>
      </c>
      <c r="AI51" s="51">
        <f t="shared" si="51"/>
        <v>138.66</v>
      </c>
      <c r="AJ51" s="51">
        <v>354.8</v>
      </c>
    </row>
    <row r="52">
      <c r="C52" s="70"/>
      <c r="D52" s="55"/>
      <c r="E52" s="71"/>
      <c r="I52" s="70"/>
      <c r="J52" s="55"/>
      <c r="K52" s="71"/>
      <c r="AB52" s="56"/>
      <c r="AC52" s="60">
        <v>7507.49</v>
      </c>
      <c r="AD52" s="61">
        <v>0.14</v>
      </c>
      <c r="AE52" s="62">
        <f t="shared" si="50"/>
        <v>511.08</v>
      </c>
      <c r="AG52" s="51">
        <v>4664.68</v>
      </c>
      <c r="AH52" s="53">
        <v>0.225</v>
      </c>
      <c r="AI52" s="51">
        <f t="shared" si="51"/>
        <v>205.57</v>
      </c>
      <c r="AJ52" s="51">
        <v>636.13</v>
      </c>
    </row>
    <row r="53">
      <c r="C53" s="70"/>
      <c r="D53" s="55"/>
      <c r="E53" s="71"/>
      <c r="I53" s="70"/>
      <c r="J53" s="55"/>
      <c r="K53" s="71"/>
      <c r="AB53" s="49"/>
      <c r="AC53" s="60">
        <v>12856.5</v>
      </c>
      <c r="AD53" s="61">
        <v>0.145</v>
      </c>
      <c r="AE53" s="62">
        <f t="shared" si="50"/>
        <v>775.61</v>
      </c>
      <c r="AG53" s="51">
        <f>AC55-AE58</f>
        <v>23280.72</v>
      </c>
      <c r="AH53" s="53">
        <v>0.275</v>
      </c>
      <c r="AI53" s="51">
        <f t="shared" si="51"/>
        <v>5119.41</v>
      </c>
      <c r="AJ53" s="51">
        <v>869.36</v>
      </c>
    </row>
    <row r="54">
      <c r="C54" s="70"/>
      <c r="D54" s="55"/>
      <c r="E54" s="71"/>
      <c r="I54" s="70"/>
      <c r="J54" s="55"/>
      <c r="K54" s="71"/>
      <c r="AB54" s="62"/>
      <c r="AC54" s="60">
        <v>25712.99</v>
      </c>
      <c r="AD54" s="61">
        <v>0.165</v>
      </c>
      <c r="AE54" s="62">
        <f t="shared" si="50"/>
        <v>2121.32</v>
      </c>
      <c r="AI54" s="47">
        <f>SUM(AI49:AI53)</f>
        <v>5532.84</v>
      </c>
      <c r="AJ54" s="47"/>
    </row>
    <row r="55">
      <c r="C55" s="70"/>
      <c r="D55" s="55"/>
      <c r="E55" s="71"/>
      <c r="I55" s="70"/>
      <c r="J55" s="55"/>
      <c r="K55" s="71"/>
      <c r="AB55" s="62"/>
      <c r="AC55" s="62">
        <v>27369.67</v>
      </c>
      <c r="AD55" s="61">
        <v>0.19</v>
      </c>
      <c r="AE55" s="62">
        <f t="shared" si="50"/>
        <v>314.77</v>
      </c>
      <c r="AG55" s="47">
        <f>AG53*AH53-AJ53</f>
        <v>5532.838</v>
      </c>
      <c r="AH55" s="58">
        <f>AG55-AI54</f>
        <v>-0.002</v>
      </c>
    </row>
    <row r="56">
      <c r="C56" s="70"/>
      <c r="D56" s="55"/>
      <c r="E56" s="71"/>
      <c r="I56" s="70"/>
      <c r="J56" s="55"/>
      <c r="K56" s="71"/>
      <c r="AB56" s="62"/>
      <c r="AC56" s="62">
        <v>50140.33</v>
      </c>
      <c r="AD56" s="61">
        <v>0.22</v>
      </c>
      <c r="AE56" s="64"/>
      <c r="AG56" s="54">
        <f>AI56/AC55</f>
        <v>0.648450639</v>
      </c>
      <c r="AH56" s="54">
        <f>AI54/AG53</f>
        <v>0.2376575982</v>
      </c>
      <c r="AI56" s="47">
        <f>AG53-AI54</f>
        <v>17747.88</v>
      </c>
    </row>
    <row r="57">
      <c r="C57" s="70"/>
      <c r="D57" s="55"/>
      <c r="E57" s="71"/>
      <c r="I57" s="70"/>
      <c r="J57" s="55"/>
      <c r="K57" s="71"/>
      <c r="AB57" s="62"/>
      <c r="AC57" s="56"/>
      <c r="AD57" s="56"/>
      <c r="AE57" s="56"/>
    </row>
    <row r="58">
      <c r="AB58" s="62"/>
      <c r="AC58" s="61">
        <f>AE58/AC55</f>
        <v>0.1493971246</v>
      </c>
      <c r="AD58" s="56"/>
      <c r="AE58" s="62">
        <f>SUM(AE49:AE56)</f>
        <v>4088.95</v>
      </c>
      <c r="AJ58" s="47"/>
    </row>
    <row r="59">
      <c r="AB59" s="62"/>
      <c r="AC59" s="56"/>
      <c r="AD59" s="56"/>
      <c r="AE59" s="56"/>
      <c r="AJ59" s="47"/>
    </row>
    <row r="60">
      <c r="AB60" s="62"/>
      <c r="AC60" s="50" t="s">
        <v>71</v>
      </c>
      <c r="AG60" s="50" t="s">
        <v>72</v>
      </c>
      <c r="AJ60" s="47"/>
    </row>
    <row r="61">
      <c r="AB61" s="62"/>
      <c r="AC61" s="51">
        <v>1320.0</v>
      </c>
      <c r="AD61" s="52">
        <v>0.075</v>
      </c>
      <c r="AE61" s="51">
        <f>ROUND(AC61*AD61,2)</f>
        <v>99</v>
      </c>
      <c r="AG61" s="51">
        <v>2112.0</v>
      </c>
      <c r="AH61" s="52">
        <v>0.0</v>
      </c>
      <c r="AI61" s="51">
        <f>AG61*AH61</f>
        <v>0</v>
      </c>
      <c r="AJ61" s="51">
        <v>0.0</v>
      </c>
    </row>
    <row r="62">
      <c r="AB62" s="56"/>
      <c r="AC62" s="51">
        <v>2571.29</v>
      </c>
      <c r="AD62" s="52">
        <v>0.09</v>
      </c>
      <c r="AE62" s="51">
        <f t="shared" ref="AE62:AE67" si="52">ROUND((AC62-AC61)*AD62,2)</f>
        <v>112.62</v>
      </c>
      <c r="AG62" s="51">
        <v>2826.65</v>
      </c>
      <c r="AH62" s="52">
        <v>0.075</v>
      </c>
      <c r="AI62" s="51">
        <f t="shared" ref="AI62:AI65" si="53">(AG62-AG61)*AH62</f>
        <v>53.59875</v>
      </c>
      <c r="AJ62" s="51">
        <v>158.4</v>
      </c>
    </row>
    <row r="63">
      <c r="AB63" s="61"/>
      <c r="AC63" s="51">
        <v>3856.94</v>
      </c>
      <c r="AD63" s="52">
        <v>0.12</v>
      </c>
      <c r="AE63" s="51">
        <f t="shared" si="52"/>
        <v>154.28</v>
      </c>
      <c r="AG63" s="51">
        <v>3751.05</v>
      </c>
      <c r="AH63" s="52">
        <v>0.15</v>
      </c>
      <c r="AI63" s="51">
        <f t="shared" si="53"/>
        <v>138.66</v>
      </c>
      <c r="AJ63" s="51">
        <v>370.4</v>
      </c>
    </row>
    <row r="64">
      <c r="AB64" s="56"/>
      <c r="AC64" s="51">
        <v>7507.49</v>
      </c>
      <c r="AD64" s="52">
        <v>0.14</v>
      </c>
      <c r="AE64" s="51">
        <f t="shared" si="52"/>
        <v>511.08</v>
      </c>
      <c r="AG64" s="51">
        <v>4664.68</v>
      </c>
      <c r="AH64" s="52">
        <v>0.225</v>
      </c>
      <c r="AI64" s="51">
        <f t="shared" si="53"/>
        <v>205.56675</v>
      </c>
      <c r="AJ64" s="51">
        <v>651.73</v>
      </c>
    </row>
    <row r="65">
      <c r="AB65" s="56"/>
      <c r="AC65" s="51">
        <v>12856.5</v>
      </c>
      <c r="AD65" s="52">
        <v>0.145</v>
      </c>
      <c r="AE65" s="51">
        <f t="shared" si="52"/>
        <v>775.61</v>
      </c>
      <c r="AG65" s="51">
        <f>AC67-AE70</f>
        <v>25276.24</v>
      </c>
      <c r="AH65" s="52">
        <v>0.275</v>
      </c>
      <c r="AI65" s="51">
        <f t="shared" si="53"/>
        <v>5668.179</v>
      </c>
      <c r="AJ65" s="51">
        <v>884.96</v>
      </c>
    </row>
    <row r="66">
      <c r="AB66" s="49"/>
      <c r="AC66" s="51">
        <v>25712.99</v>
      </c>
      <c r="AD66" s="52">
        <v>0.165</v>
      </c>
      <c r="AE66" s="51">
        <f t="shared" si="52"/>
        <v>2121.32</v>
      </c>
      <c r="AI66" s="47">
        <f t="shared" ref="AI66:AJ66" si="54">SUM(AI61:AI65)</f>
        <v>6066.0045</v>
      </c>
      <c r="AJ66" s="47">
        <f t="shared" si="54"/>
        <v>2065.49</v>
      </c>
    </row>
    <row r="67">
      <c r="AB67" s="62"/>
      <c r="AC67" s="51">
        <v>29832.94</v>
      </c>
      <c r="AD67" s="52">
        <v>0.19</v>
      </c>
      <c r="AE67" s="51">
        <f t="shared" si="52"/>
        <v>782.79</v>
      </c>
      <c r="AG67" s="47">
        <f>AG65*AH65-AJ65</f>
        <v>6066.006</v>
      </c>
      <c r="AH67" s="58">
        <f>AG67-AI66</f>
        <v>0.0015</v>
      </c>
      <c r="AJ67" s="47"/>
    </row>
    <row r="68">
      <c r="AB68" s="62"/>
      <c r="AC68" s="51">
        <v>50140.33</v>
      </c>
      <c r="AD68" s="52">
        <v>0.22</v>
      </c>
      <c r="AE68" s="51"/>
      <c r="AG68" s="54">
        <f>AI68/AC67</f>
        <v>0.6439269981</v>
      </c>
      <c r="AH68" s="54">
        <f>AI66/AG65</f>
        <v>0.2399884041</v>
      </c>
      <c r="AI68" s="47">
        <f>AG65-AI66</f>
        <v>19210.2355</v>
      </c>
    </row>
    <row r="69">
      <c r="AB69" s="62"/>
      <c r="AJ69" s="47"/>
    </row>
    <row r="70">
      <c r="AB70" s="62"/>
      <c r="AC70" s="54">
        <f>AE70/AC67</f>
        <v>0.1527405613</v>
      </c>
      <c r="AE70" s="47">
        <f>SUM(AE61:AE68)</f>
        <v>4556.7</v>
      </c>
      <c r="AJ70" s="47"/>
    </row>
    <row r="71">
      <c r="AB71" s="62"/>
      <c r="AJ71" s="47"/>
    </row>
    <row r="72">
      <c r="AB72" s="62"/>
      <c r="AC72" s="50" t="s">
        <v>73</v>
      </c>
      <c r="AG72" s="50" t="s">
        <v>74</v>
      </c>
      <c r="AH72" s="66"/>
      <c r="AI72" s="66"/>
      <c r="AJ72" s="67"/>
    </row>
    <row r="73">
      <c r="AB73" s="62"/>
      <c r="AC73" s="51">
        <v>1412.0</v>
      </c>
      <c r="AD73" s="52">
        <v>0.075</v>
      </c>
      <c r="AE73" s="51">
        <f>ROUND(AC73*AD73,2)</f>
        <v>105.9</v>
      </c>
      <c r="AG73" s="51">
        <v>2259.2</v>
      </c>
      <c r="AH73" s="52">
        <v>0.0</v>
      </c>
      <c r="AI73" s="51">
        <f>AG73*AH73</f>
        <v>0</v>
      </c>
      <c r="AJ73" s="51">
        <v>0.0</v>
      </c>
    </row>
    <row r="74">
      <c r="AB74" s="62"/>
      <c r="AC74" s="51">
        <v>2666.68</v>
      </c>
      <c r="AD74" s="52">
        <v>0.09</v>
      </c>
      <c r="AE74" s="51">
        <f t="shared" ref="AE74:AE79" si="55">ROUND((AC74-AC73)*AD74,2)</f>
        <v>112.92</v>
      </c>
      <c r="AG74" s="51">
        <v>2828.65</v>
      </c>
      <c r="AH74" s="52">
        <v>0.075</v>
      </c>
      <c r="AI74" s="51">
        <f t="shared" ref="AI74:AI77" si="56">ROUND((AG74-AG73)*AH74,2)</f>
        <v>42.71</v>
      </c>
      <c r="AJ74" s="51">
        <f>AH74*AG73</f>
        <v>169.44</v>
      </c>
    </row>
    <row r="75">
      <c r="AB75" s="56"/>
      <c r="AC75" s="51">
        <v>4000.63</v>
      </c>
      <c r="AD75" s="52">
        <v>0.12</v>
      </c>
      <c r="AE75" s="51">
        <f t="shared" si="55"/>
        <v>160.07</v>
      </c>
      <c r="AG75" s="51">
        <v>3751.05</v>
      </c>
      <c r="AH75" s="52">
        <v>0.15</v>
      </c>
      <c r="AI75" s="51">
        <f t="shared" si="56"/>
        <v>138.36</v>
      </c>
      <c r="AJ75" s="51">
        <v>381.44</v>
      </c>
    </row>
    <row r="76">
      <c r="AB76" s="61"/>
      <c r="AC76" s="51">
        <v>7786.02</v>
      </c>
      <c r="AD76" s="52">
        <v>0.14</v>
      </c>
      <c r="AE76" s="51">
        <f t="shared" si="55"/>
        <v>529.95</v>
      </c>
      <c r="AG76" s="51">
        <v>4664.68</v>
      </c>
      <c r="AH76" s="52">
        <v>0.225</v>
      </c>
      <c r="AI76" s="51">
        <f t="shared" si="56"/>
        <v>205.57</v>
      </c>
      <c r="AJ76" s="51">
        <v>662.77</v>
      </c>
    </row>
    <row r="77">
      <c r="AB77" s="56"/>
      <c r="AC77" s="51">
        <v>13333.48</v>
      </c>
      <c r="AD77" s="52">
        <v>0.145</v>
      </c>
      <c r="AE77" s="51">
        <f t="shared" si="55"/>
        <v>804.38</v>
      </c>
      <c r="AG77" s="51">
        <f>AC79-AE82</f>
        <v>25318.16</v>
      </c>
      <c r="AH77" s="52">
        <v>0.275</v>
      </c>
      <c r="AI77" s="51">
        <f t="shared" si="56"/>
        <v>5679.71</v>
      </c>
      <c r="AJ77" s="51">
        <v>896.0</v>
      </c>
    </row>
    <row r="78">
      <c r="AB78" s="56"/>
      <c r="AC78" s="51">
        <v>26666.94</v>
      </c>
      <c r="AD78" s="52">
        <v>0.165</v>
      </c>
      <c r="AE78" s="51">
        <f t="shared" si="55"/>
        <v>2200.02</v>
      </c>
      <c r="AI78" s="47">
        <f>SUM(AI73:AI77)</f>
        <v>6066.35</v>
      </c>
      <c r="AJ78" s="47"/>
    </row>
    <row r="79">
      <c r="AB79" s="50"/>
      <c r="AC79" s="51">
        <v>29832.94</v>
      </c>
      <c r="AD79" s="52">
        <v>0.19</v>
      </c>
      <c r="AE79" s="51">
        <f t="shared" si="55"/>
        <v>601.54</v>
      </c>
      <c r="AG79" s="47">
        <f>AG77*AH77-AJ77</f>
        <v>6066.494</v>
      </c>
      <c r="AH79" s="58">
        <f>AG79-AI78</f>
        <v>0.144</v>
      </c>
    </row>
    <row r="80">
      <c r="AB80" s="51"/>
      <c r="AC80" s="51">
        <v>52000.54</v>
      </c>
      <c r="AD80" s="52">
        <v>0.22</v>
      </c>
      <c r="AE80" s="51"/>
      <c r="AG80" s="54">
        <f>AI80/AC79</f>
        <v>0.6453205752</v>
      </c>
      <c r="AH80" s="54">
        <f>AI78/AG77</f>
        <v>0.2396046948</v>
      </c>
      <c r="AI80" s="47">
        <f>AG77-AI78</f>
        <v>19251.81</v>
      </c>
      <c r="AJ80" s="47"/>
    </row>
    <row r="81">
      <c r="AB81" s="51"/>
      <c r="AJ81" s="47"/>
    </row>
    <row r="82">
      <c r="AB82" s="51"/>
      <c r="AC82" s="54">
        <f>AE82/AC79</f>
        <v>0.1513354031</v>
      </c>
      <c r="AE82" s="47">
        <f>SUM(AE73:AE80)</f>
        <v>4514.78</v>
      </c>
      <c r="AJ82" s="4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9" width="12.38"/>
    <col customWidth="1" min="20" max="20" width="4.75"/>
    <col customWidth="1" min="21" max="21" width="2.88"/>
  </cols>
  <sheetData>
    <row r="1">
      <c r="A1" s="32" t="s">
        <v>9</v>
      </c>
      <c r="B1" s="33" t="str">
        <f>'Página31'!B1</f>
        <v>PGFN | Atual (bruto)</v>
      </c>
      <c r="C1" s="33" t="str">
        <f>'Página31'!C1</f>
        <v>PGFN | Novo (bruto)</v>
      </c>
      <c r="D1" s="33" t="str">
        <f>'Página31'!D1</f>
        <v>SERFB | Atual (bruto)</v>
      </c>
      <c r="E1" s="33" t="str">
        <f>'Página31'!E1</f>
        <v>SERFB | Novo (bruto)</v>
      </c>
      <c r="F1" s="33" t="str">
        <f>'Página31'!G1</f>
        <v>STN | Novo (bruto)</v>
      </c>
      <c r="G1" s="33" t="str">
        <f>'Página31'!H1</f>
        <v>PGFN | Atual (líquido)</v>
      </c>
      <c r="H1" s="33" t="str">
        <f>'Página31'!I1</f>
        <v>PGFN | Novo (líquido)</v>
      </c>
      <c r="I1" s="33" t="str">
        <f>'Página31'!J1</f>
        <v>SERFB | Atual (líquido)</v>
      </c>
      <c r="J1" s="33" t="str">
        <f>'Página31'!K1</f>
        <v>SERFB | Novo (líquido)</v>
      </c>
      <c r="K1" s="33" t="str">
        <f>'Página31'!M1</f>
        <v>STN | Novo (líquido)</v>
      </c>
      <c r="L1" s="33" t="str">
        <f>'Página31'!N1</f>
        <v>PGFN: subsídio | Atual (bruto)</v>
      </c>
      <c r="M1" s="33" t="str">
        <f>'Página31'!O1</f>
        <v>PGFN: subsídio | Novo (bruto)</v>
      </c>
      <c r="N1" s="33" t="str">
        <f>'Página31'!P1</f>
        <v>PGFN: HA | Atual (bruto)</v>
      </c>
      <c r="O1" s="33" t="str">
        <f>'Página31'!R1</f>
        <v>SERFB: VB | Atual (bruto)</v>
      </c>
      <c r="P1" s="33" t="str">
        <f>'Página31'!S1</f>
        <v>SERFB: VB | Novo (bruto)</v>
      </c>
      <c r="Q1" s="33" t="str">
        <f>'Página31'!T1</f>
        <v>SERFB: BEP (bruto)</v>
      </c>
      <c r="R1" s="33" t="str">
        <f>'Página31'!U1</f>
        <v>PGFN: subsídio | Atual (líquido)</v>
      </c>
      <c r="S1" s="33" t="str">
        <f>'Página31'!V1</f>
        <v>PGFN: subsídio | Novo (líquido)</v>
      </c>
      <c r="T1" s="33"/>
      <c r="U1" s="33"/>
    </row>
    <row r="2">
      <c r="A2" s="34">
        <v>42370.0</v>
      </c>
      <c r="B2" s="48">
        <f t="shared" ref="B2:B73" si="1">ROUND(IF(MONTH($A2)=12,2.333,1)*(L2+ROUND((M2/13.33333)*12,2)),2)</f>
        <v>13204.77</v>
      </c>
      <c r="C2" s="48">
        <f>ROUND(IF(MONTH($A2)=12,2.333,1)*VLOOKUP($A2,'Página31'!$A$1:$V$27,COLUMN(),TRUE),2)</f>
        <v>22516.95</v>
      </c>
      <c r="D2" s="48">
        <f t="shared" ref="D2:D145" si="2">ROUND(IF(MONTH($A2)=12,2.333,1)*(N2+ROUND((O2/13.33333)*12,2)),2)</f>
        <v>22516.94</v>
      </c>
      <c r="E2" s="48">
        <f>ROUND(IF(MONTH($A2)=12,2.333,1)*VLOOKUP($A2,'Página31'!$A$1:$V$27,COLUMN(),TRUE),2)</f>
        <v>22516.95</v>
      </c>
      <c r="F2" s="48">
        <f>ROUND(IF(MONTH($A2)=12,2.333,1)*VLOOKUP($A2,'Página31'!$A$1:$V$27,COLUMN(),TRUE),2)</f>
        <v>0</v>
      </c>
      <c r="G2" s="48">
        <f t="shared" ref="G2:G73" si="3">ROUND(IF(MONTH($A2)=12,2.333,1)*(P2+ROUND((Q2/13.33333)*12,2)),2)</f>
        <v>0</v>
      </c>
      <c r="H2" s="48">
        <f>ROUND(IF(MONTH($A2)=12,2.333,1)*VLOOKUP($A2,'Página31'!$A$1:$V$27,COLUMN(),TRUE),2)</f>
        <v>15398.42</v>
      </c>
      <c r="I2" s="48">
        <f t="shared" ref="I2:I145" si="4">ROUND(IF(MONTH($A2)=12,2.333,1)*(R2+ROUND((S2/13.33333)*12,2)),2)</f>
        <v>22516.88</v>
      </c>
      <c r="J2" s="48">
        <f>ROUND(IF(MONTH($A2)=12,2.333,1)*VLOOKUP($A2,'Página31'!$A$1:$V$27,COLUMN(),TRUE),2)</f>
        <v>15398.37</v>
      </c>
      <c r="K2" s="48">
        <f>ROUND(IF(MONTH($A2)=12,2.333,1)*VLOOKUP($A2,'Página31'!$A$1:$V$27,COLUMN(),TRUE),2)</f>
        <v>15398.42</v>
      </c>
      <c r="L2" s="48" t="str">
        <f>VLOOKUP($A2,'Página31'!$A$1:$V$27,COLUMN(),TRUE)</f>
        <v/>
      </c>
      <c r="M2" s="48">
        <f>VLOOKUP($A2,'Página31'!$A$1:$V$27,COLUMN(),TRUE)</f>
        <v>14671.968</v>
      </c>
      <c r="N2" s="48">
        <f>VLOOKUP($A2,'Página31'!$A$1:$V$27,COLUMN(),TRUE)</f>
        <v>22516.94</v>
      </c>
      <c r="O2" s="48" t="str">
        <f>VLOOKUP($A2,'Página31'!$A$1:$V$27,COLUMN(),TRUE)</f>
        <v/>
      </c>
      <c r="P2" s="48">
        <f>VLOOKUP($A2,'Página31'!$A$1:$V$27,COLUMN(),TRUE)</f>
        <v>0</v>
      </c>
      <c r="Q2" s="48" t="str">
        <f>VLOOKUP($A2,'Página31'!$A$1:$V$27,COLUMN(),TRUE)</f>
        <v/>
      </c>
      <c r="R2" s="48">
        <f>VLOOKUP($A2,'Página31'!$A$1:$V$27,COLUMN(),TRUE)</f>
        <v>22516.88</v>
      </c>
      <c r="S2" s="48" t="str">
        <f>VLOOKUP($A2,'Página31'!$A$1:$V$27,COLUMN(),TRUE)</f>
        <v/>
      </c>
      <c r="T2" s="73">
        <f t="shared" ref="T2:T145" si="5">YEAR(A2)</f>
        <v>2016</v>
      </c>
      <c r="U2" s="73">
        <f t="shared" ref="U2:U145" si="6">MONTH(A2)</f>
        <v>1</v>
      </c>
    </row>
    <row r="3">
      <c r="A3" s="34">
        <v>42401.0</v>
      </c>
      <c r="B3" s="48">
        <f t="shared" si="1"/>
        <v>13204.77</v>
      </c>
      <c r="C3" s="48">
        <f>ROUND(IF(MONTH($A3)=12,2.333,1)*VLOOKUP($A3,'Página31'!$A$1:$V$27,COLUMN(),TRUE),2)</f>
        <v>22516.95</v>
      </c>
      <c r="D3" s="48">
        <f t="shared" si="2"/>
        <v>22516.94</v>
      </c>
      <c r="E3" s="48">
        <f>ROUND(IF(MONTH($A3)=12,2.333,1)*VLOOKUP($A3,'Página31'!$A$1:$V$27,COLUMN(),TRUE),2)</f>
        <v>22516.95</v>
      </c>
      <c r="F3" s="48">
        <f>ROUND(IF(MONTH($A3)=12,2.333,1)*VLOOKUP($A3,'Página31'!$A$1:$V$27,COLUMN(),TRUE),2)</f>
        <v>0</v>
      </c>
      <c r="G3" s="48">
        <f t="shared" si="3"/>
        <v>0</v>
      </c>
      <c r="H3" s="48">
        <f>ROUND(IF(MONTH($A3)=12,2.333,1)*VLOOKUP($A3,'Página31'!$A$1:$V$27,COLUMN(),TRUE),2)</f>
        <v>15398.42</v>
      </c>
      <c r="I3" s="48">
        <f t="shared" si="4"/>
        <v>22516.88</v>
      </c>
      <c r="J3" s="48">
        <f>ROUND(IF(MONTH($A3)=12,2.333,1)*VLOOKUP($A3,'Página31'!$A$1:$V$27,COLUMN(),TRUE),2)</f>
        <v>15398.37</v>
      </c>
      <c r="K3" s="48">
        <f>ROUND(IF(MONTH($A3)=12,2.333,1)*VLOOKUP($A3,'Página31'!$A$1:$V$27,COLUMN(),TRUE),2)</f>
        <v>15398.42</v>
      </c>
      <c r="L3" s="48" t="str">
        <f>VLOOKUP($A3,'Página31'!$A$1:$V$27,COLUMN(),TRUE)</f>
        <v/>
      </c>
      <c r="M3" s="48">
        <f>VLOOKUP($A3,'Página31'!$A$1:$V$27,COLUMN(),TRUE)</f>
        <v>14671.968</v>
      </c>
      <c r="N3" s="48">
        <f>VLOOKUP($A3,'Página31'!$A$1:$V$27,COLUMN(),TRUE)</f>
        <v>22516.94</v>
      </c>
      <c r="O3" s="48" t="str">
        <f>VLOOKUP($A3,'Página31'!$A$1:$V$27,COLUMN(),TRUE)</f>
        <v/>
      </c>
      <c r="P3" s="48">
        <f>VLOOKUP($A3,'Página31'!$A$1:$V$27,COLUMN(),TRUE)</f>
        <v>0</v>
      </c>
      <c r="Q3" s="48" t="str">
        <f>VLOOKUP($A3,'Página31'!$A$1:$V$27,COLUMN(),TRUE)</f>
        <v/>
      </c>
      <c r="R3" s="48">
        <f>VLOOKUP($A3,'Página31'!$A$1:$V$27,COLUMN(),TRUE)</f>
        <v>22516.88</v>
      </c>
      <c r="S3" s="48" t="str">
        <f>VLOOKUP($A3,'Página31'!$A$1:$V$27,COLUMN(),TRUE)</f>
        <v/>
      </c>
      <c r="T3" s="73">
        <f t="shared" si="5"/>
        <v>2016</v>
      </c>
      <c r="U3" s="73">
        <f t="shared" si="6"/>
        <v>2</v>
      </c>
    </row>
    <row r="4">
      <c r="A4" s="34">
        <v>42430.0</v>
      </c>
      <c r="B4" s="48">
        <f t="shared" si="1"/>
        <v>13204.77</v>
      </c>
      <c r="C4" s="48">
        <f>ROUND(IF(MONTH($A4)=12,2.333,1)*VLOOKUP($A4,'Página31'!$A$1:$V$27,COLUMN(),TRUE),2)</f>
        <v>22516.95</v>
      </c>
      <c r="D4" s="48">
        <f t="shared" si="2"/>
        <v>22516.94</v>
      </c>
      <c r="E4" s="48">
        <f>ROUND(IF(MONTH($A4)=12,2.333,1)*VLOOKUP($A4,'Página31'!$A$1:$V$27,COLUMN(),TRUE),2)</f>
        <v>22516.95</v>
      </c>
      <c r="F4" s="48">
        <f>ROUND(IF(MONTH($A4)=12,2.333,1)*VLOOKUP($A4,'Página31'!$A$1:$V$27,COLUMN(),TRUE),2)</f>
        <v>0</v>
      </c>
      <c r="G4" s="48">
        <f t="shared" si="3"/>
        <v>0</v>
      </c>
      <c r="H4" s="48">
        <f>ROUND(IF(MONTH($A4)=12,2.333,1)*VLOOKUP($A4,'Página31'!$A$1:$V$27,COLUMN(),TRUE),2)</f>
        <v>15398.42</v>
      </c>
      <c r="I4" s="48">
        <f t="shared" si="4"/>
        <v>22516.88</v>
      </c>
      <c r="J4" s="48">
        <f>ROUND(IF(MONTH($A4)=12,2.333,1)*VLOOKUP($A4,'Página31'!$A$1:$V$27,COLUMN(),TRUE),2)</f>
        <v>15398.37</v>
      </c>
      <c r="K4" s="48">
        <f>ROUND(IF(MONTH($A4)=12,2.333,1)*VLOOKUP($A4,'Página31'!$A$1:$V$27,COLUMN(),TRUE),2)</f>
        <v>15398.42</v>
      </c>
      <c r="L4" s="48" t="str">
        <f>VLOOKUP($A4,'Página31'!$A$1:$V$27,COLUMN(),TRUE)</f>
        <v/>
      </c>
      <c r="M4" s="48">
        <f>VLOOKUP($A4,'Página31'!$A$1:$V$27,COLUMN(),TRUE)</f>
        <v>14671.968</v>
      </c>
      <c r="N4" s="48">
        <f>VLOOKUP($A4,'Página31'!$A$1:$V$27,COLUMN(),TRUE)</f>
        <v>22516.94</v>
      </c>
      <c r="O4" s="48" t="str">
        <f>VLOOKUP($A4,'Página31'!$A$1:$V$27,COLUMN(),TRUE)</f>
        <v/>
      </c>
      <c r="P4" s="48">
        <f>VLOOKUP($A4,'Página31'!$A$1:$V$27,COLUMN(),TRUE)</f>
        <v>0</v>
      </c>
      <c r="Q4" s="48" t="str">
        <f>VLOOKUP($A4,'Página31'!$A$1:$V$27,COLUMN(),TRUE)</f>
        <v/>
      </c>
      <c r="R4" s="48">
        <f>VLOOKUP($A4,'Página31'!$A$1:$V$27,COLUMN(),TRUE)</f>
        <v>22516.88</v>
      </c>
      <c r="S4" s="48" t="str">
        <f>VLOOKUP($A4,'Página31'!$A$1:$V$27,COLUMN(),TRUE)</f>
        <v/>
      </c>
      <c r="T4" s="73">
        <f t="shared" si="5"/>
        <v>2016</v>
      </c>
      <c r="U4" s="73">
        <f t="shared" si="6"/>
        <v>3</v>
      </c>
    </row>
    <row r="5">
      <c r="A5" s="34">
        <v>42461.0</v>
      </c>
      <c r="B5" s="48">
        <f t="shared" si="1"/>
        <v>13204.77</v>
      </c>
      <c r="C5" s="48">
        <f>ROUND(IF(MONTH($A5)=12,2.333,1)*VLOOKUP($A5,'Página31'!$A$1:$V$27,COLUMN(),TRUE),2)</f>
        <v>22516.95</v>
      </c>
      <c r="D5" s="48">
        <f t="shared" si="2"/>
        <v>22516.94</v>
      </c>
      <c r="E5" s="48">
        <f>ROUND(IF(MONTH($A5)=12,2.333,1)*VLOOKUP($A5,'Página31'!$A$1:$V$27,COLUMN(),TRUE),2)</f>
        <v>22516.95</v>
      </c>
      <c r="F5" s="48">
        <f>ROUND(IF(MONTH($A5)=12,2.333,1)*VLOOKUP($A5,'Página31'!$A$1:$V$27,COLUMN(),TRUE),2)</f>
        <v>0</v>
      </c>
      <c r="G5" s="48">
        <f t="shared" si="3"/>
        <v>0</v>
      </c>
      <c r="H5" s="48">
        <f>ROUND(IF(MONTH($A5)=12,2.333,1)*VLOOKUP($A5,'Página31'!$A$1:$V$27,COLUMN(),TRUE),2)</f>
        <v>15398.42</v>
      </c>
      <c r="I5" s="48">
        <f t="shared" si="4"/>
        <v>22516.88</v>
      </c>
      <c r="J5" s="48">
        <f>ROUND(IF(MONTH($A5)=12,2.333,1)*VLOOKUP($A5,'Página31'!$A$1:$V$27,COLUMN(),TRUE),2)</f>
        <v>15398.37</v>
      </c>
      <c r="K5" s="48">
        <f>ROUND(IF(MONTH($A5)=12,2.333,1)*VLOOKUP($A5,'Página31'!$A$1:$V$27,COLUMN(),TRUE),2)</f>
        <v>15398.42</v>
      </c>
      <c r="L5" s="48" t="str">
        <f>VLOOKUP($A5,'Página31'!$A$1:$V$27,COLUMN(),TRUE)</f>
        <v/>
      </c>
      <c r="M5" s="48">
        <f>VLOOKUP($A5,'Página31'!$A$1:$V$27,COLUMN(),TRUE)</f>
        <v>14671.968</v>
      </c>
      <c r="N5" s="48">
        <f>VLOOKUP($A5,'Página31'!$A$1:$V$27,COLUMN(),TRUE)</f>
        <v>22516.94</v>
      </c>
      <c r="O5" s="48" t="str">
        <f>VLOOKUP($A5,'Página31'!$A$1:$V$27,COLUMN(),TRUE)</f>
        <v/>
      </c>
      <c r="P5" s="48">
        <f>VLOOKUP($A5,'Página31'!$A$1:$V$27,COLUMN(),TRUE)</f>
        <v>0</v>
      </c>
      <c r="Q5" s="48" t="str">
        <f>VLOOKUP($A5,'Página31'!$A$1:$V$27,COLUMN(),TRUE)</f>
        <v/>
      </c>
      <c r="R5" s="48">
        <f>VLOOKUP($A5,'Página31'!$A$1:$V$27,COLUMN(),TRUE)</f>
        <v>22516.88</v>
      </c>
      <c r="S5" s="48" t="str">
        <f>VLOOKUP($A5,'Página31'!$A$1:$V$27,COLUMN(),TRUE)</f>
        <v/>
      </c>
      <c r="T5" s="73">
        <f t="shared" si="5"/>
        <v>2016</v>
      </c>
      <c r="U5" s="73">
        <f t="shared" si="6"/>
        <v>4</v>
      </c>
    </row>
    <row r="6">
      <c r="A6" s="34">
        <v>42491.0</v>
      </c>
      <c r="B6" s="48">
        <f t="shared" si="1"/>
        <v>13204.77</v>
      </c>
      <c r="C6" s="48">
        <f>ROUND(IF(MONTH($A6)=12,2.333,1)*VLOOKUP($A6,'Página31'!$A$1:$V$27,COLUMN(),TRUE),2)</f>
        <v>22516.95</v>
      </c>
      <c r="D6" s="48">
        <f t="shared" si="2"/>
        <v>22516.94</v>
      </c>
      <c r="E6" s="48">
        <f>ROUND(IF(MONTH($A6)=12,2.333,1)*VLOOKUP($A6,'Página31'!$A$1:$V$27,COLUMN(),TRUE),2)</f>
        <v>22516.95</v>
      </c>
      <c r="F6" s="48">
        <f>ROUND(IF(MONTH($A6)=12,2.333,1)*VLOOKUP($A6,'Página31'!$A$1:$V$27,COLUMN(),TRUE),2)</f>
        <v>0</v>
      </c>
      <c r="G6" s="48">
        <f t="shared" si="3"/>
        <v>0</v>
      </c>
      <c r="H6" s="48">
        <f>ROUND(IF(MONTH($A6)=12,2.333,1)*VLOOKUP($A6,'Página31'!$A$1:$V$27,COLUMN(),TRUE),2)</f>
        <v>15398.42</v>
      </c>
      <c r="I6" s="48">
        <f t="shared" si="4"/>
        <v>22516.88</v>
      </c>
      <c r="J6" s="48">
        <f>ROUND(IF(MONTH($A6)=12,2.333,1)*VLOOKUP($A6,'Página31'!$A$1:$V$27,COLUMN(),TRUE),2)</f>
        <v>15398.37</v>
      </c>
      <c r="K6" s="48">
        <f>ROUND(IF(MONTH($A6)=12,2.333,1)*VLOOKUP($A6,'Página31'!$A$1:$V$27,COLUMN(),TRUE),2)</f>
        <v>15398.42</v>
      </c>
      <c r="L6" s="48" t="str">
        <f>VLOOKUP($A6,'Página31'!$A$1:$V$27,COLUMN(),TRUE)</f>
        <v/>
      </c>
      <c r="M6" s="48">
        <f>VLOOKUP($A6,'Página31'!$A$1:$V$27,COLUMN(),TRUE)</f>
        <v>14671.968</v>
      </c>
      <c r="N6" s="48">
        <f>VLOOKUP($A6,'Página31'!$A$1:$V$27,COLUMN(),TRUE)</f>
        <v>22516.94</v>
      </c>
      <c r="O6" s="48" t="str">
        <f>VLOOKUP($A6,'Página31'!$A$1:$V$27,COLUMN(),TRUE)</f>
        <v/>
      </c>
      <c r="P6" s="48">
        <f>VLOOKUP($A6,'Página31'!$A$1:$V$27,COLUMN(),TRUE)</f>
        <v>0</v>
      </c>
      <c r="Q6" s="48" t="str">
        <f>VLOOKUP($A6,'Página31'!$A$1:$V$27,COLUMN(),TRUE)</f>
        <v/>
      </c>
      <c r="R6" s="48">
        <f>VLOOKUP($A6,'Página31'!$A$1:$V$27,COLUMN(),TRUE)</f>
        <v>22516.88</v>
      </c>
      <c r="S6" s="48" t="str">
        <f>VLOOKUP($A6,'Página31'!$A$1:$V$27,COLUMN(),TRUE)</f>
        <v/>
      </c>
      <c r="T6" s="73">
        <f t="shared" si="5"/>
        <v>2016</v>
      </c>
      <c r="U6" s="73">
        <f t="shared" si="6"/>
        <v>5</v>
      </c>
    </row>
    <row r="7">
      <c r="A7" s="34">
        <v>42522.0</v>
      </c>
      <c r="B7" s="48">
        <f t="shared" si="1"/>
        <v>13204.77</v>
      </c>
      <c r="C7" s="48">
        <f>ROUND(IF(MONTH($A7)=12,2.333,1)*VLOOKUP($A7,'Página31'!$A$1:$V$27,COLUMN(),TRUE),2)</f>
        <v>22516.95</v>
      </c>
      <c r="D7" s="48">
        <f t="shared" si="2"/>
        <v>22516.94</v>
      </c>
      <c r="E7" s="48">
        <f>ROUND(IF(MONTH($A7)=12,2.333,1)*VLOOKUP($A7,'Página31'!$A$1:$V$27,COLUMN(),TRUE),2)</f>
        <v>22516.95</v>
      </c>
      <c r="F7" s="48">
        <f>ROUND(IF(MONTH($A7)=12,2.333,1)*VLOOKUP($A7,'Página31'!$A$1:$V$27,COLUMN(),TRUE),2)</f>
        <v>0</v>
      </c>
      <c r="G7" s="48">
        <f t="shared" si="3"/>
        <v>0</v>
      </c>
      <c r="H7" s="48">
        <f>ROUND(IF(MONTH($A7)=12,2.333,1)*VLOOKUP($A7,'Página31'!$A$1:$V$27,COLUMN(),TRUE),2)</f>
        <v>15398.42</v>
      </c>
      <c r="I7" s="48">
        <f t="shared" si="4"/>
        <v>22516.88</v>
      </c>
      <c r="J7" s="48">
        <f>ROUND(IF(MONTH($A7)=12,2.333,1)*VLOOKUP($A7,'Página31'!$A$1:$V$27,COLUMN(),TRUE),2)</f>
        <v>15398.37</v>
      </c>
      <c r="K7" s="48">
        <f>ROUND(IF(MONTH($A7)=12,2.333,1)*VLOOKUP($A7,'Página31'!$A$1:$V$27,COLUMN(),TRUE),2)</f>
        <v>15398.42</v>
      </c>
      <c r="L7" s="48" t="str">
        <f>VLOOKUP($A7,'Página31'!$A$1:$V$27,COLUMN(),TRUE)</f>
        <v/>
      </c>
      <c r="M7" s="48">
        <f>VLOOKUP($A7,'Página31'!$A$1:$V$27,COLUMN(),TRUE)</f>
        <v>14671.968</v>
      </c>
      <c r="N7" s="48">
        <f>VLOOKUP($A7,'Página31'!$A$1:$V$27,COLUMN(),TRUE)</f>
        <v>22516.94</v>
      </c>
      <c r="O7" s="48" t="str">
        <f>VLOOKUP($A7,'Página31'!$A$1:$V$27,COLUMN(),TRUE)</f>
        <v/>
      </c>
      <c r="P7" s="48">
        <f>VLOOKUP($A7,'Página31'!$A$1:$V$27,COLUMN(),TRUE)</f>
        <v>0</v>
      </c>
      <c r="Q7" s="48" t="str">
        <f>VLOOKUP($A7,'Página31'!$A$1:$V$27,COLUMN(),TRUE)</f>
        <v/>
      </c>
      <c r="R7" s="48">
        <f>VLOOKUP($A7,'Página31'!$A$1:$V$27,COLUMN(),TRUE)</f>
        <v>22516.88</v>
      </c>
      <c r="S7" s="48" t="str">
        <f>VLOOKUP($A7,'Página31'!$A$1:$V$27,COLUMN(),TRUE)</f>
        <v/>
      </c>
      <c r="T7" s="73">
        <f t="shared" si="5"/>
        <v>2016</v>
      </c>
      <c r="U7" s="73">
        <f t="shared" si="6"/>
        <v>6</v>
      </c>
    </row>
    <row r="8">
      <c r="A8" s="34">
        <v>42552.0</v>
      </c>
      <c r="B8" s="48">
        <f t="shared" si="1"/>
        <v>13204.77</v>
      </c>
      <c r="C8" s="48">
        <f>ROUND(IF(MONTH($A8)=12,2.333,1)*VLOOKUP($A8,'Página31'!$A$1:$V$27,COLUMN(),TRUE),2)</f>
        <v>22516.95</v>
      </c>
      <c r="D8" s="48">
        <f t="shared" si="2"/>
        <v>22516.94</v>
      </c>
      <c r="E8" s="48">
        <f>ROUND(IF(MONTH($A8)=12,2.333,1)*VLOOKUP($A8,'Página31'!$A$1:$V$27,COLUMN(),TRUE),2)</f>
        <v>22516.95</v>
      </c>
      <c r="F8" s="48">
        <f>ROUND(IF(MONTH($A8)=12,2.333,1)*VLOOKUP($A8,'Página31'!$A$1:$V$27,COLUMN(),TRUE),2)</f>
        <v>0</v>
      </c>
      <c r="G8" s="48">
        <f t="shared" si="3"/>
        <v>0</v>
      </c>
      <c r="H8" s="48">
        <f>ROUND(IF(MONTH($A8)=12,2.333,1)*VLOOKUP($A8,'Página31'!$A$1:$V$27,COLUMN(),TRUE),2)</f>
        <v>15398.42</v>
      </c>
      <c r="I8" s="48">
        <f t="shared" si="4"/>
        <v>22516.88</v>
      </c>
      <c r="J8" s="48">
        <f>ROUND(IF(MONTH($A8)=12,2.333,1)*VLOOKUP($A8,'Página31'!$A$1:$V$27,COLUMN(),TRUE),2)</f>
        <v>15398.37</v>
      </c>
      <c r="K8" s="48">
        <f>ROUND(IF(MONTH($A8)=12,2.333,1)*VLOOKUP($A8,'Página31'!$A$1:$V$27,COLUMN(),TRUE),2)</f>
        <v>15398.42</v>
      </c>
      <c r="L8" s="48" t="str">
        <f>VLOOKUP($A8,'Página31'!$A$1:$V$27,COLUMN(),TRUE)</f>
        <v/>
      </c>
      <c r="M8" s="48">
        <f>VLOOKUP($A8,'Página31'!$A$1:$V$27,COLUMN(),TRUE)</f>
        <v>14671.968</v>
      </c>
      <c r="N8" s="48">
        <f>VLOOKUP($A8,'Página31'!$A$1:$V$27,COLUMN(),TRUE)</f>
        <v>22516.94</v>
      </c>
      <c r="O8" s="48" t="str">
        <f>VLOOKUP($A8,'Página31'!$A$1:$V$27,COLUMN(),TRUE)</f>
        <v/>
      </c>
      <c r="P8" s="48">
        <f>VLOOKUP($A8,'Página31'!$A$1:$V$27,COLUMN(),TRUE)</f>
        <v>0</v>
      </c>
      <c r="Q8" s="48" t="str">
        <f>VLOOKUP($A8,'Página31'!$A$1:$V$27,COLUMN(),TRUE)</f>
        <v/>
      </c>
      <c r="R8" s="48">
        <f>VLOOKUP($A8,'Página31'!$A$1:$V$27,COLUMN(),TRUE)</f>
        <v>22516.88</v>
      </c>
      <c r="S8" s="48" t="str">
        <f>VLOOKUP($A8,'Página31'!$A$1:$V$27,COLUMN(),TRUE)</f>
        <v/>
      </c>
      <c r="T8" s="73">
        <f t="shared" si="5"/>
        <v>2016</v>
      </c>
      <c r="U8" s="73">
        <f t="shared" si="6"/>
        <v>7</v>
      </c>
    </row>
    <row r="9">
      <c r="A9" s="34">
        <v>42583.0</v>
      </c>
      <c r="B9" s="48">
        <f t="shared" si="1"/>
        <v>13888</v>
      </c>
      <c r="C9" s="48">
        <f>ROUND(IF(MONTH($A9)=12,2.333,1)*VLOOKUP($A9,'Página31'!$A$1:$V$27,COLUMN(),TRUE),2)</f>
        <v>23755.38</v>
      </c>
      <c r="D9" s="48">
        <f t="shared" si="2"/>
        <v>23755.37</v>
      </c>
      <c r="E9" s="48">
        <f>ROUND(IF(MONTH($A9)=12,2.333,1)*VLOOKUP($A9,'Página31'!$A$1:$V$27,COLUMN(),TRUE),2)</f>
        <v>23755.38</v>
      </c>
      <c r="F9" s="48">
        <f>ROUND(IF(MONTH($A9)=12,2.333,1)*VLOOKUP($A9,'Página31'!$A$1:$V$27,COLUMN(),TRUE),2)</f>
        <v>0</v>
      </c>
      <c r="G9" s="48">
        <f t="shared" si="3"/>
        <v>3000</v>
      </c>
      <c r="H9" s="48">
        <f>ROUND(IF(MONTH($A9)=12,2.333,1)*VLOOKUP($A9,'Página31'!$A$1:$V$27,COLUMN(),TRUE),2)</f>
        <v>18318.14</v>
      </c>
      <c r="I9" s="48">
        <f t="shared" si="4"/>
        <v>22516.88</v>
      </c>
      <c r="J9" s="48">
        <f>ROUND(IF(MONTH($A9)=12,2.333,1)*VLOOKUP($A9,'Página31'!$A$1:$V$27,COLUMN(),TRUE),2)</f>
        <v>15398.37</v>
      </c>
      <c r="K9" s="48">
        <f>ROUND(IF(MONTH($A9)=12,2.333,1)*VLOOKUP($A9,'Página31'!$A$1:$V$27,COLUMN(),TRUE),2)</f>
        <v>16197.52</v>
      </c>
      <c r="L9" s="48" t="str">
        <f>VLOOKUP($A9,'Página31'!$A$1:$V$27,COLUMN(),TRUE)</f>
        <v/>
      </c>
      <c r="M9" s="48">
        <f>VLOOKUP($A9,'Página31'!$A$1:$V$27,COLUMN(),TRUE)</f>
        <v>15431.10825</v>
      </c>
      <c r="N9" s="48">
        <f>VLOOKUP($A9,'Página31'!$A$1:$V$27,COLUMN(),TRUE)</f>
        <v>23755.37</v>
      </c>
      <c r="O9" s="48" t="str">
        <f>VLOOKUP($A9,'Página31'!$A$1:$V$27,COLUMN(),TRUE)</f>
        <v/>
      </c>
      <c r="P9" s="48">
        <f>VLOOKUP($A9,'Página31'!$A$1:$V$27,COLUMN(),TRUE)</f>
        <v>3000</v>
      </c>
      <c r="Q9" s="48" t="str">
        <f>VLOOKUP($A9,'Página31'!$A$1:$V$27,COLUMN(),TRUE)</f>
        <v/>
      </c>
      <c r="R9" s="48">
        <f>VLOOKUP($A9,'Página31'!$A$1:$V$27,COLUMN(),TRUE)</f>
        <v>22516.88</v>
      </c>
      <c r="S9" s="48" t="str">
        <f>VLOOKUP($A9,'Página31'!$A$1:$V$27,COLUMN(),TRUE)</f>
        <v/>
      </c>
      <c r="T9" s="73">
        <f t="shared" si="5"/>
        <v>2016</v>
      </c>
      <c r="U9" s="73">
        <f t="shared" si="6"/>
        <v>8</v>
      </c>
    </row>
    <row r="10">
      <c r="A10" s="34">
        <v>42614.0</v>
      </c>
      <c r="B10" s="48">
        <f t="shared" si="1"/>
        <v>13888</v>
      </c>
      <c r="C10" s="48">
        <f>ROUND(IF(MONTH($A10)=12,2.333,1)*VLOOKUP($A10,'Página31'!$A$1:$V$27,COLUMN(),TRUE),2)</f>
        <v>23755.38</v>
      </c>
      <c r="D10" s="48">
        <f t="shared" si="2"/>
        <v>23755.37</v>
      </c>
      <c r="E10" s="48">
        <f>ROUND(IF(MONTH($A10)=12,2.333,1)*VLOOKUP($A10,'Página31'!$A$1:$V$27,COLUMN(),TRUE),2)</f>
        <v>23755.38</v>
      </c>
      <c r="F10" s="48">
        <f>ROUND(IF(MONTH($A10)=12,2.333,1)*VLOOKUP($A10,'Página31'!$A$1:$V$27,COLUMN(),TRUE),2)</f>
        <v>0</v>
      </c>
      <c r="G10" s="48">
        <f t="shared" si="3"/>
        <v>3000</v>
      </c>
      <c r="H10" s="48">
        <f>ROUND(IF(MONTH($A10)=12,2.333,1)*VLOOKUP($A10,'Página31'!$A$1:$V$27,COLUMN(),TRUE),2)</f>
        <v>18318.14</v>
      </c>
      <c r="I10" s="48">
        <f t="shared" si="4"/>
        <v>22516.88</v>
      </c>
      <c r="J10" s="48">
        <f>ROUND(IF(MONTH($A10)=12,2.333,1)*VLOOKUP($A10,'Página31'!$A$1:$V$27,COLUMN(),TRUE),2)</f>
        <v>17355.87</v>
      </c>
      <c r="K10" s="48">
        <f>ROUND(IF(MONTH($A10)=12,2.333,1)*VLOOKUP($A10,'Página31'!$A$1:$V$27,COLUMN(),TRUE),2)</f>
        <v>16197.52</v>
      </c>
      <c r="L10" s="48" t="str">
        <f>VLOOKUP($A10,'Página31'!$A$1:$V$27,COLUMN(),TRUE)</f>
        <v/>
      </c>
      <c r="M10" s="48">
        <f>VLOOKUP($A10,'Página31'!$A$1:$V$27,COLUMN(),TRUE)</f>
        <v>15431.10825</v>
      </c>
      <c r="N10" s="48">
        <f>VLOOKUP($A10,'Página31'!$A$1:$V$27,COLUMN(),TRUE)</f>
        <v>23755.37</v>
      </c>
      <c r="O10" s="48" t="str">
        <f>VLOOKUP($A10,'Página31'!$A$1:$V$27,COLUMN(),TRUE)</f>
        <v/>
      </c>
      <c r="P10" s="48">
        <f>VLOOKUP($A10,'Página31'!$A$1:$V$27,COLUMN(),TRUE)</f>
        <v>3000</v>
      </c>
      <c r="Q10" s="48" t="str">
        <f>VLOOKUP($A10,'Página31'!$A$1:$V$27,COLUMN(),TRUE)</f>
        <v/>
      </c>
      <c r="R10" s="48">
        <f>VLOOKUP($A10,'Página31'!$A$1:$V$27,COLUMN(),TRUE)</f>
        <v>22516.88</v>
      </c>
      <c r="S10" s="48" t="str">
        <f>VLOOKUP($A10,'Página31'!$A$1:$V$27,COLUMN(),TRUE)</f>
        <v/>
      </c>
      <c r="T10" s="73">
        <f t="shared" si="5"/>
        <v>2016</v>
      </c>
      <c r="U10" s="73">
        <f t="shared" si="6"/>
        <v>9</v>
      </c>
    </row>
    <row r="11">
      <c r="A11" s="34">
        <v>42644.0</v>
      </c>
      <c r="B11" s="48">
        <f t="shared" si="1"/>
        <v>13888</v>
      </c>
      <c r="C11" s="48">
        <f>ROUND(IF(MONTH($A11)=12,2.333,1)*VLOOKUP($A11,'Página31'!$A$1:$V$27,COLUMN(),TRUE),2)</f>
        <v>23755.38</v>
      </c>
      <c r="D11" s="48">
        <f t="shared" si="2"/>
        <v>23755.37</v>
      </c>
      <c r="E11" s="48">
        <f>ROUND(IF(MONTH($A11)=12,2.333,1)*VLOOKUP($A11,'Página31'!$A$1:$V$27,COLUMN(),TRUE),2)</f>
        <v>23755.38</v>
      </c>
      <c r="F11" s="48">
        <f>ROUND(IF(MONTH($A11)=12,2.333,1)*VLOOKUP($A11,'Página31'!$A$1:$V$27,COLUMN(),TRUE),2)</f>
        <v>0</v>
      </c>
      <c r="G11" s="48">
        <f t="shared" si="3"/>
        <v>3000</v>
      </c>
      <c r="H11" s="48">
        <f>ROUND(IF(MONTH($A11)=12,2.333,1)*VLOOKUP($A11,'Página31'!$A$1:$V$27,COLUMN(),TRUE),2)</f>
        <v>18318.14</v>
      </c>
      <c r="I11" s="48">
        <f t="shared" si="4"/>
        <v>22516.88</v>
      </c>
      <c r="J11" s="48">
        <f>ROUND(IF(MONTH($A11)=12,2.333,1)*VLOOKUP($A11,'Página31'!$A$1:$V$27,COLUMN(),TRUE),2)</f>
        <v>17355.87</v>
      </c>
      <c r="K11" s="48">
        <f>ROUND(IF(MONTH($A11)=12,2.333,1)*VLOOKUP($A11,'Página31'!$A$1:$V$27,COLUMN(),TRUE),2)</f>
        <v>16197.52</v>
      </c>
      <c r="L11" s="48" t="str">
        <f>VLOOKUP($A11,'Página31'!$A$1:$V$27,COLUMN(),TRUE)</f>
        <v/>
      </c>
      <c r="M11" s="48">
        <f>VLOOKUP($A11,'Página31'!$A$1:$V$27,COLUMN(),TRUE)</f>
        <v>15431.10825</v>
      </c>
      <c r="N11" s="48">
        <f>VLOOKUP($A11,'Página31'!$A$1:$V$27,COLUMN(),TRUE)</f>
        <v>23755.37</v>
      </c>
      <c r="O11" s="48" t="str">
        <f>VLOOKUP($A11,'Página31'!$A$1:$V$27,COLUMN(),TRUE)</f>
        <v/>
      </c>
      <c r="P11" s="48">
        <f>VLOOKUP($A11,'Página31'!$A$1:$V$27,COLUMN(),TRUE)</f>
        <v>3000</v>
      </c>
      <c r="Q11" s="48" t="str">
        <f>VLOOKUP($A11,'Página31'!$A$1:$V$27,COLUMN(),TRUE)</f>
        <v/>
      </c>
      <c r="R11" s="48">
        <f>VLOOKUP($A11,'Página31'!$A$1:$V$27,COLUMN(),TRUE)</f>
        <v>22516.88</v>
      </c>
      <c r="S11" s="48" t="str">
        <f>VLOOKUP($A11,'Página31'!$A$1:$V$27,COLUMN(),TRUE)</f>
        <v/>
      </c>
      <c r="T11" s="73">
        <f t="shared" si="5"/>
        <v>2016</v>
      </c>
      <c r="U11" s="73">
        <f t="shared" si="6"/>
        <v>10</v>
      </c>
    </row>
    <row r="12">
      <c r="A12" s="34">
        <v>42675.0</v>
      </c>
      <c r="B12" s="48">
        <f t="shared" si="1"/>
        <v>13888</v>
      </c>
      <c r="C12" s="48">
        <f>ROUND(IF(MONTH($A12)=12,2.333,1)*VLOOKUP($A12,'Página31'!$A$1:$V$27,COLUMN(),TRUE),2)</f>
        <v>23755.38</v>
      </c>
      <c r="D12" s="48">
        <f t="shared" si="2"/>
        <v>23755.37</v>
      </c>
      <c r="E12" s="48">
        <f>ROUND(IF(MONTH($A12)=12,2.333,1)*VLOOKUP($A12,'Página31'!$A$1:$V$27,COLUMN(),TRUE),2)</f>
        <v>23755.38</v>
      </c>
      <c r="F12" s="48">
        <f>ROUND(IF(MONTH($A12)=12,2.333,1)*VLOOKUP($A12,'Página31'!$A$1:$V$27,COLUMN(),TRUE),2)</f>
        <v>0</v>
      </c>
      <c r="G12" s="48">
        <f t="shared" si="3"/>
        <v>3000</v>
      </c>
      <c r="H12" s="48">
        <f>ROUND(IF(MONTH($A12)=12,2.333,1)*VLOOKUP($A12,'Página31'!$A$1:$V$27,COLUMN(),TRUE),2)</f>
        <v>18318.14</v>
      </c>
      <c r="I12" s="48">
        <f t="shared" si="4"/>
        <v>22516.88</v>
      </c>
      <c r="J12" s="48">
        <f>ROUND(IF(MONTH($A12)=12,2.333,1)*VLOOKUP($A12,'Página31'!$A$1:$V$27,COLUMN(),TRUE),2)</f>
        <v>17355.87</v>
      </c>
      <c r="K12" s="48">
        <f>ROUND(IF(MONTH($A12)=12,2.333,1)*VLOOKUP($A12,'Página31'!$A$1:$V$27,COLUMN(),TRUE),2)</f>
        <v>16197.52</v>
      </c>
      <c r="L12" s="48" t="str">
        <f>VLOOKUP($A12,'Página31'!$A$1:$V$27,COLUMN(),TRUE)</f>
        <v/>
      </c>
      <c r="M12" s="48">
        <f>VLOOKUP($A12,'Página31'!$A$1:$V$27,COLUMN(),TRUE)</f>
        <v>15431.10825</v>
      </c>
      <c r="N12" s="48">
        <f>VLOOKUP($A12,'Página31'!$A$1:$V$27,COLUMN(),TRUE)</f>
        <v>23755.37</v>
      </c>
      <c r="O12" s="48" t="str">
        <f>VLOOKUP($A12,'Página31'!$A$1:$V$27,COLUMN(),TRUE)</f>
        <v/>
      </c>
      <c r="P12" s="48">
        <f>VLOOKUP($A12,'Página31'!$A$1:$V$27,COLUMN(),TRUE)</f>
        <v>3000</v>
      </c>
      <c r="Q12" s="48" t="str">
        <f>VLOOKUP($A12,'Página31'!$A$1:$V$27,COLUMN(),TRUE)</f>
        <v/>
      </c>
      <c r="R12" s="48">
        <f>VLOOKUP($A12,'Página31'!$A$1:$V$27,COLUMN(),TRUE)</f>
        <v>22516.88</v>
      </c>
      <c r="S12" s="48" t="str">
        <f>VLOOKUP($A12,'Página31'!$A$1:$V$27,COLUMN(),TRUE)</f>
        <v/>
      </c>
      <c r="T12" s="73">
        <f t="shared" si="5"/>
        <v>2016</v>
      </c>
      <c r="U12" s="73">
        <f t="shared" si="6"/>
        <v>11</v>
      </c>
    </row>
    <row r="13">
      <c r="A13" s="34">
        <v>42705.0</v>
      </c>
      <c r="B13" s="48">
        <f t="shared" si="1"/>
        <v>32400.7</v>
      </c>
      <c r="C13" s="48">
        <f>ROUND(IF(MONTH($A13)=12,2.333,1)*VLOOKUP($A13,'Página31'!$A$1:$V$27,COLUMN(),TRUE),2)</f>
        <v>55421.3</v>
      </c>
      <c r="D13" s="48">
        <f t="shared" si="2"/>
        <v>55421.28</v>
      </c>
      <c r="E13" s="48">
        <f>ROUND(IF(MONTH($A13)=12,2.333,1)*VLOOKUP($A13,'Página31'!$A$1:$V$27,COLUMN(),TRUE),2)</f>
        <v>55421.3</v>
      </c>
      <c r="F13" s="48">
        <f>ROUND(IF(MONTH($A13)=12,2.333,1)*VLOOKUP($A13,'Página31'!$A$1:$V$27,COLUMN(),TRUE),2)</f>
        <v>0</v>
      </c>
      <c r="G13" s="48">
        <f t="shared" si="3"/>
        <v>6999</v>
      </c>
      <c r="H13" s="48">
        <f>ROUND(IF(MONTH($A13)=12,2.333,1)*VLOOKUP($A13,'Página31'!$A$1:$V$27,COLUMN(),TRUE),2)</f>
        <v>42736.23</v>
      </c>
      <c r="I13" s="48">
        <f t="shared" si="4"/>
        <v>52531.88</v>
      </c>
      <c r="J13" s="48">
        <f>ROUND(IF(MONTH($A13)=12,2.333,1)*VLOOKUP($A13,'Página31'!$A$1:$V$27,COLUMN(),TRUE),2)</f>
        <v>40491.26</v>
      </c>
      <c r="K13" s="48">
        <f>ROUND(IF(MONTH($A13)=12,2.333,1)*VLOOKUP($A13,'Página31'!$A$1:$V$27,COLUMN(),TRUE),2)</f>
        <v>37788.81</v>
      </c>
      <c r="L13" s="48" t="str">
        <f>VLOOKUP($A13,'Página31'!$A$1:$V$27,COLUMN(),TRUE)</f>
        <v/>
      </c>
      <c r="M13" s="48">
        <f>VLOOKUP($A13,'Página31'!$A$1:$V$27,COLUMN(),TRUE)</f>
        <v>15431.10825</v>
      </c>
      <c r="N13" s="48">
        <f>VLOOKUP($A13,'Página31'!$A$1:$V$27,COLUMN(),TRUE)</f>
        <v>23755.37</v>
      </c>
      <c r="O13" s="48" t="str">
        <f>VLOOKUP($A13,'Página31'!$A$1:$V$27,COLUMN(),TRUE)</f>
        <v/>
      </c>
      <c r="P13" s="48">
        <f>VLOOKUP($A13,'Página31'!$A$1:$V$27,COLUMN(),TRUE)</f>
        <v>3000</v>
      </c>
      <c r="Q13" s="48" t="str">
        <f>VLOOKUP($A13,'Página31'!$A$1:$V$27,COLUMN(),TRUE)</f>
        <v/>
      </c>
      <c r="R13" s="48">
        <f>VLOOKUP($A13,'Página31'!$A$1:$V$27,COLUMN(),TRUE)</f>
        <v>22516.88</v>
      </c>
      <c r="S13" s="48" t="str">
        <f>VLOOKUP($A13,'Página31'!$A$1:$V$27,COLUMN(),TRUE)</f>
        <v/>
      </c>
      <c r="T13" s="73">
        <f t="shared" si="5"/>
        <v>2016</v>
      </c>
      <c r="U13" s="73">
        <f t="shared" si="6"/>
        <v>12</v>
      </c>
    </row>
    <row r="14">
      <c r="A14" s="34">
        <v>42736.0</v>
      </c>
      <c r="B14" s="48">
        <f t="shared" si="1"/>
        <v>14802.68</v>
      </c>
      <c r="C14" s="48">
        <f>ROUND(IF(MONTH($A14)=12,2.333,1)*VLOOKUP($A14,'Página31'!$A$1:$V$27,COLUMN(),TRUE),2)</f>
        <v>25413.33</v>
      </c>
      <c r="D14" s="48">
        <f t="shared" si="2"/>
        <v>24943.14</v>
      </c>
      <c r="E14" s="48">
        <f>ROUND(IF(MONTH($A14)=12,2.333,1)*VLOOKUP($A14,'Página31'!$A$1:$V$27,COLUMN(),TRUE),2)</f>
        <v>25413.33</v>
      </c>
      <c r="F14" s="48">
        <f>ROUND(IF(MONTH($A14)=12,2.333,1)*VLOOKUP($A14,'Página31'!$A$1:$V$27,COLUMN(),TRUE),2)</f>
        <v>0</v>
      </c>
      <c r="G14" s="48">
        <f t="shared" si="3"/>
        <v>3662.5</v>
      </c>
      <c r="H14" s="48">
        <f>ROUND(IF(MONTH($A14)=12,2.333,1)*VLOOKUP($A14,'Página31'!$A$1:$V$27,COLUMN(),TRUE),2)</f>
        <v>19552.85</v>
      </c>
      <c r="I14" s="48">
        <f t="shared" si="4"/>
        <v>24943.07</v>
      </c>
      <c r="J14" s="48">
        <f>ROUND(IF(MONTH($A14)=12,2.333,1)*VLOOKUP($A14,'Página31'!$A$1:$V$27,COLUMN(),TRUE),2)</f>
        <v>18921.37</v>
      </c>
      <c r="K14" s="48">
        <f>ROUND(IF(MONTH($A14)=12,2.333,1)*VLOOKUP($A14,'Página31'!$A$1:$V$27,COLUMN(),TRUE),2)</f>
        <v>17267.31</v>
      </c>
      <c r="L14" s="48" t="str">
        <f>VLOOKUP($A14,'Página31'!$A$1:$V$27,COLUMN(),TRUE)</f>
        <v/>
      </c>
      <c r="M14" s="48">
        <f>VLOOKUP($A14,'Página31'!$A$1:$V$27,COLUMN(),TRUE)</f>
        <v>16447.41325</v>
      </c>
      <c r="N14" s="48">
        <f>VLOOKUP($A14,'Página31'!$A$1:$V$27,COLUMN(),TRUE)</f>
        <v>24943.14</v>
      </c>
      <c r="O14" s="48" t="str">
        <f>VLOOKUP($A14,'Página31'!$A$1:$V$27,COLUMN(),TRUE)</f>
        <v/>
      </c>
      <c r="P14" s="48">
        <f>VLOOKUP($A14,'Página31'!$A$1:$V$27,COLUMN(),TRUE)</f>
        <v>3662.5</v>
      </c>
      <c r="Q14" s="48" t="str">
        <f>VLOOKUP($A14,'Página31'!$A$1:$V$27,COLUMN(),TRUE)</f>
        <v/>
      </c>
      <c r="R14" s="48">
        <f>VLOOKUP($A14,'Página31'!$A$1:$V$27,COLUMN(),TRUE)</f>
        <v>24943.07</v>
      </c>
      <c r="S14" s="48" t="str">
        <f>VLOOKUP($A14,'Página31'!$A$1:$V$27,COLUMN(),TRUE)</f>
        <v/>
      </c>
      <c r="T14" s="73">
        <f t="shared" si="5"/>
        <v>2017</v>
      </c>
      <c r="U14" s="73">
        <f t="shared" si="6"/>
        <v>1</v>
      </c>
    </row>
    <row r="15">
      <c r="A15" s="34">
        <v>42767.0</v>
      </c>
      <c r="B15" s="48">
        <f t="shared" si="1"/>
        <v>14802.68</v>
      </c>
      <c r="C15" s="48">
        <f>ROUND(IF(MONTH($A15)=12,2.333,1)*VLOOKUP($A15,'Página31'!$A$1:$V$27,COLUMN(),TRUE),2)</f>
        <v>25413.33</v>
      </c>
      <c r="D15" s="48">
        <f t="shared" si="2"/>
        <v>24943.14</v>
      </c>
      <c r="E15" s="48">
        <f>ROUND(IF(MONTH($A15)=12,2.333,1)*VLOOKUP($A15,'Página31'!$A$1:$V$27,COLUMN(),TRUE),2)</f>
        <v>25413.33</v>
      </c>
      <c r="F15" s="48">
        <f>ROUND(IF(MONTH($A15)=12,2.333,1)*VLOOKUP($A15,'Página31'!$A$1:$V$27,COLUMN(),TRUE),2)</f>
        <v>0</v>
      </c>
      <c r="G15" s="48">
        <f t="shared" si="3"/>
        <v>3662.5</v>
      </c>
      <c r="H15" s="48">
        <f>ROUND(IF(MONTH($A15)=12,2.333,1)*VLOOKUP($A15,'Página31'!$A$1:$V$27,COLUMN(),TRUE),2)</f>
        <v>19552.85</v>
      </c>
      <c r="I15" s="48">
        <f t="shared" si="4"/>
        <v>24943.07</v>
      </c>
      <c r="J15" s="48">
        <f>ROUND(IF(MONTH($A15)=12,2.333,1)*VLOOKUP($A15,'Página31'!$A$1:$V$27,COLUMN(),TRUE),2)</f>
        <v>18921.37</v>
      </c>
      <c r="K15" s="48">
        <f>ROUND(IF(MONTH($A15)=12,2.333,1)*VLOOKUP($A15,'Página31'!$A$1:$V$27,COLUMN(),TRUE),2)</f>
        <v>17267.31</v>
      </c>
      <c r="L15" s="48" t="str">
        <f>VLOOKUP($A15,'Página31'!$A$1:$V$27,COLUMN(),TRUE)</f>
        <v/>
      </c>
      <c r="M15" s="48">
        <f>VLOOKUP($A15,'Página31'!$A$1:$V$27,COLUMN(),TRUE)</f>
        <v>16447.41325</v>
      </c>
      <c r="N15" s="48">
        <f>VLOOKUP($A15,'Página31'!$A$1:$V$27,COLUMN(),TRUE)</f>
        <v>24943.14</v>
      </c>
      <c r="O15" s="48" t="str">
        <f>VLOOKUP($A15,'Página31'!$A$1:$V$27,COLUMN(),TRUE)</f>
        <v/>
      </c>
      <c r="P15" s="48">
        <f>VLOOKUP($A15,'Página31'!$A$1:$V$27,COLUMN(),TRUE)</f>
        <v>3662.5</v>
      </c>
      <c r="Q15" s="48" t="str">
        <f>VLOOKUP($A15,'Página31'!$A$1:$V$27,COLUMN(),TRUE)</f>
        <v/>
      </c>
      <c r="R15" s="48">
        <f>VLOOKUP($A15,'Página31'!$A$1:$V$27,COLUMN(),TRUE)</f>
        <v>24943.07</v>
      </c>
      <c r="S15" s="48" t="str">
        <f>VLOOKUP($A15,'Página31'!$A$1:$V$27,COLUMN(),TRUE)</f>
        <v/>
      </c>
      <c r="T15" s="73">
        <f t="shared" si="5"/>
        <v>2017</v>
      </c>
      <c r="U15" s="73">
        <f t="shared" si="6"/>
        <v>2</v>
      </c>
    </row>
    <row r="16">
      <c r="A16" s="34">
        <v>42795.0</v>
      </c>
      <c r="B16" s="48">
        <f t="shared" si="1"/>
        <v>14802.68</v>
      </c>
      <c r="C16" s="48">
        <f>ROUND(IF(MONTH($A16)=12,2.333,1)*VLOOKUP($A16,'Página31'!$A$1:$V$27,COLUMN(),TRUE),2)</f>
        <v>25413.33</v>
      </c>
      <c r="D16" s="48">
        <f t="shared" si="2"/>
        <v>24943.14</v>
      </c>
      <c r="E16" s="48">
        <f>ROUND(IF(MONTH($A16)=12,2.333,1)*VLOOKUP($A16,'Página31'!$A$1:$V$27,COLUMN(),TRUE),2)</f>
        <v>25413.33</v>
      </c>
      <c r="F16" s="48">
        <f>ROUND(IF(MONTH($A16)=12,2.333,1)*VLOOKUP($A16,'Página31'!$A$1:$V$27,COLUMN(),TRUE),2)</f>
        <v>0</v>
      </c>
      <c r="G16" s="48">
        <f t="shared" si="3"/>
        <v>3662.5</v>
      </c>
      <c r="H16" s="48">
        <f>ROUND(IF(MONTH($A16)=12,2.333,1)*VLOOKUP($A16,'Página31'!$A$1:$V$27,COLUMN(),TRUE),2)</f>
        <v>19552.85</v>
      </c>
      <c r="I16" s="48">
        <f t="shared" si="4"/>
        <v>24943.07</v>
      </c>
      <c r="J16" s="48">
        <f>ROUND(IF(MONTH($A16)=12,2.333,1)*VLOOKUP($A16,'Página31'!$A$1:$V$27,COLUMN(),TRUE),2)</f>
        <v>18921.37</v>
      </c>
      <c r="K16" s="48">
        <f>ROUND(IF(MONTH($A16)=12,2.333,1)*VLOOKUP($A16,'Página31'!$A$1:$V$27,COLUMN(),TRUE),2)</f>
        <v>17267.31</v>
      </c>
      <c r="L16" s="48" t="str">
        <f>VLOOKUP($A16,'Página31'!$A$1:$V$27,COLUMN(),TRUE)</f>
        <v/>
      </c>
      <c r="M16" s="48">
        <f>VLOOKUP($A16,'Página31'!$A$1:$V$27,COLUMN(),TRUE)</f>
        <v>16447.41325</v>
      </c>
      <c r="N16" s="48">
        <f>VLOOKUP($A16,'Página31'!$A$1:$V$27,COLUMN(),TRUE)</f>
        <v>24943.14</v>
      </c>
      <c r="O16" s="48" t="str">
        <f>VLOOKUP($A16,'Página31'!$A$1:$V$27,COLUMN(),TRUE)</f>
        <v/>
      </c>
      <c r="P16" s="48">
        <f>VLOOKUP($A16,'Página31'!$A$1:$V$27,COLUMN(),TRUE)</f>
        <v>3662.5</v>
      </c>
      <c r="Q16" s="48" t="str">
        <f>VLOOKUP($A16,'Página31'!$A$1:$V$27,COLUMN(),TRUE)</f>
        <v/>
      </c>
      <c r="R16" s="48">
        <f>VLOOKUP($A16,'Página31'!$A$1:$V$27,COLUMN(),TRUE)</f>
        <v>24943.07</v>
      </c>
      <c r="S16" s="48" t="str">
        <f>VLOOKUP($A16,'Página31'!$A$1:$V$27,COLUMN(),TRUE)</f>
        <v/>
      </c>
      <c r="T16" s="73">
        <f t="shared" si="5"/>
        <v>2017</v>
      </c>
      <c r="U16" s="73">
        <f t="shared" si="6"/>
        <v>3</v>
      </c>
    </row>
    <row r="17">
      <c r="A17" s="34">
        <v>42826.0</v>
      </c>
      <c r="B17" s="48">
        <f t="shared" si="1"/>
        <v>14802.68</v>
      </c>
      <c r="C17" s="48">
        <f>ROUND(IF(MONTH($A17)=12,2.333,1)*VLOOKUP($A17,'Página31'!$A$1:$V$27,COLUMN(),TRUE),2)</f>
        <v>25413.33</v>
      </c>
      <c r="D17" s="48">
        <f t="shared" si="2"/>
        <v>24943.14</v>
      </c>
      <c r="E17" s="48">
        <f>ROUND(IF(MONTH($A17)=12,2.333,1)*VLOOKUP($A17,'Página31'!$A$1:$V$27,COLUMN(),TRUE),2)</f>
        <v>25413.33</v>
      </c>
      <c r="F17" s="48">
        <f>ROUND(IF(MONTH($A17)=12,2.333,1)*VLOOKUP($A17,'Página31'!$A$1:$V$27,COLUMN(),TRUE),2)</f>
        <v>0</v>
      </c>
      <c r="G17" s="48">
        <f t="shared" si="3"/>
        <v>3662.5</v>
      </c>
      <c r="H17" s="48">
        <f>ROUND(IF(MONTH($A17)=12,2.333,1)*VLOOKUP($A17,'Página31'!$A$1:$V$27,COLUMN(),TRUE),2)</f>
        <v>19552.85</v>
      </c>
      <c r="I17" s="48">
        <f t="shared" si="4"/>
        <v>24943.07</v>
      </c>
      <c r="J17" s="48">
        <f>ROUND(IF(MONTH($A17)=12,2.333,1)*VLOOKUP($A17,'Página31'!$A$1:$V$27,COLUMN(),TRUE),2)</f>
        <v>18921.37</v>
      </c>
      <c r="K17" s="48">
        <f>ROUND(IF(MONTH($A17)=12,2.333,1)*VLOOKUP($A17,'Página31'!$A$1:$V$27,COLUMN(),TRUE),2)</f>
        <v>17267.31</v>
      </c>
      <c r="L17" s="48" t="str">
        <f>VLOOKUP($A17,'Página31'!$A$1:$V$27,COLUMN(),TRUE)</f>
        <v/>
      </c>
      <c r="M17" s="48">
        <f>VLOOKUP($A17,'Página31'!$A$1:$V$27,COLUMN(),TRUE)</f>
        <v>16447.41325</v>
      </c>
      <c r="N17" s="48">
        <f>VLOOKUP($A17,'Página31'!$A$1:$V$27,COLUMN(),TRUE)</f>
        <v>24943.14</v>
      </c>
      <c r="O17" s="48" t="str">
        <f>VLOOKUP($A17,'Página31'!$A$1:$V$27,COLUMN(),TRUE)</f>
        <v/>
      </c>
      <c r="P17" s="48">
        <f>VLOOKUP($A17,'Página31'!$A$1:$V$27,COLUMN(),TRUE)</f>
        <v>3662.5</v>
      </c>
      <c r="Q17" s="48" t="str">
        <f>VLOOKUP($A17,'Página31'!$A$1:$V$27,COLUMN(),TRUE)</f>
        <v/>
      </c>
      <c r="R17" s="48">
        <f>VLOOKUP($A17,'Página31'!$A$1:$V$27,COLUMN(),TRUE)</f>
        <v>24943.07</v>
      </c>
      <c r="S17" s="48" t="str">
        <f>VLOOKUP($A17,'Página31'!$A$1:$V$27,COLUMN(),TRUE)</f>
        <v/>
      </c>
      <c r="T17" s="73">
        <f t="shared" si="5"/>
        <v>2017</v>
      </c>
      <c r="U17" s="73">
        <f t="shared" si="6"/>
        <v>4</v>
      </c>
    </row>
    <row r="18">
      <c r="A18" s="34">
        <v>42856.0</v>
      </c>
      <c r="B18" s="48">
        <f t="shared" si="1"/>
        <v>14802.68</v>
      </c>
      <c r="C18" s="48">
        <f>ROUND(IF(MONTH($A18)=12,2.333,1)*VLOOKUP($A18,'Página31'!$A$1:$V$27,COLUMN(),TRUE),2)</f>
        <v>25413.33</v>
      </c>
      <c r="D18" s="48">
        <f t="shared" si="2"/>
        <v>24943.14</v>
      </c>
      <c r="E18" s="48">
        <f>ROUND(IF(MONTH($A18)=12,2.333,1)*VLOOKUP($A18,'Página31'!$A$1:$V$27,COLUMN(),TRUE),2)</f>
        <v>25413.33</v>
      </c>
      <c r="F18" s="48">
        <f>ROUND(IF(MONTH($A18)=12,2.333,1)*VLOOKUP($A18,'Página31'!$A$1:$V$27,COLUMN(),TRUE),2)</f>
        <v>0</v>
      </c>
      <c r="G18" s="48">
        <f t="shared" si="3"/>
        <v>3662.5</v>
      </c>
      <c r="H18" s="48">
        <f>ROUND(IF(MONTH($A18)=12,2.333,1)*VLOOKUP($A18,'Página31'!$A$1:$V$27,COLUMN(),TRUE),2)</f>
        <v>19552.85</v>
      </c>
      <c r="I18" s="48">
        <f t="shared" si="4"/>
        <v>24943.07</v>
      </c>
      <c r="J18" s="48">
        <f>ROUND(IF(MONTH($A18)=12,2.333,1)*VLOOKUP($A18,'Página31'!$A$1:$V$27,COLUMN(),TRUE),2)</f>
        <v>18921.37</v>
      </c>
      <c r="K18" s="48">
        <f>ROUND(IF(MONTH($A18)=12,2.333,1)*VLOOKUP($A18,'Página31'!$A$1:$V$27,COLUMN(),TRUE),2)</f>
        <v>17267.31</v>
      </c>
      <c r="L18" s="48" t="str">
        <f>VLOOKUP($A18,'Página31'!$A$1:$V$27,COLUMN(),TRUE)</f>
        <v/>
      </c>
      <c r="M18" s="48">
        <f>VLOOKUP($A18,'Página31'!$A$1:$V$27,COLUMN(),TRUE)</f>
        <v>16447.41325</v>
      </c>
      <c r="N18" s="48">
        <f>VLOOKUP($A18,'Página31'!$A$1:$V$27,COLUMN(),TRUE)</f>
        <v>24943.14</v>
      </c>
      <c r="O18" s="48" t="str">
        <f>VLOOKUP($A18,'Página31'!$A$1:$V$27,COLUMN(),TRUE)</f>
        <v/>
      </c>
      <c r="P18" s="48">
        <f>VLOOKUP($A18,'Página31'!$A$1:$V$27,COLUMN(),TRUE)</f>
        <v>3662.5</v>
      </c>
      <c r="Q18" s="48" t="str">
        <f>VLOOKUP($A18,'Página31'!$A$1:$V$27,COLUMN(),TRUE)</f>
        <v/>
      </c>
      <c r="R18" s="48">
        <f>VLOOKUP($A18,'Página31'!$A$1:$V$27,COLUMN(),TRUE)</f>
        <v>24943.07</v>
      </c>
      <c r="S18" s="48" t="str">
        <f>VLOOKUP($A18,'Página31'!$A$1:$V$27,COLUMN(),TRUE)</f>
        <v/>
      </c>
      <c r="T18" s="73">
        <f t="shared" si="5"/>
        <v>2017</v>
      </c>
      <c r="U18" s="73">
        <f t="shared" si="6"/>
        <v>5</v>
      </c>
    </row>
    <row r="19">
      <c r="A19" s="34">
        <v>42887.0</v>
      </c>
      <c r="B19" s="48">
        <f t="shared" si="1"/>
        <v>14802.68</v>
      </c>
      <c r="C19" s="48">
        <f>ROUND(IF(MONTH($A19)=12,2.333,1)*VLOOKUP($A19,'Página31'!$A$1:$V$27,COLUMN(),TRUE),2)</f>
        <v>25413.33</v>
      </c>
      <c r="D19" s="48">
        <f t="shared" si="2"/>
        <v>24943.14</v>
      </c>
      <c r="E19" s="48">
        <f>ROUND(IF(MONTH($A19)=12,2.333,1)*VLOOKUP($A19,'Página31'!$A$1:$V$27,COLUMN(),TRUE),2)</f>
        <v>25413.33</v>
      </c>
      <c r="F19" s="48">
        <f>ROUND(IF(MONTH($A19)=12,2.333,1)*VLOOKUP($A19,'Página31'!$A$1:$V$27,COLUMN(),TRUE),2)</f>
        <v>0</v>
      </c>
      <c r="G19" s="48">
        <f t="shared" si="3"/>
        <v>3662.5</v>
      </c>
      <c r="H19" s="48">
        <f>ROUND(IF(MONTH($A19)=12,2.333,1)*VLOOKUP($A19,'Página31'!$A$1:$V$27,COLUMN(),TRUE),2)</f>
        <v>19552.85</v>
      </c>
      <c r="I19" s="48">
        <f t="shared" si="4"/>
        <v>24943.07</v>
      </c>
      <c r="J19" s="48">
        <f>ROUND(IF(MONTH($A19)=12,2.333,1)*VLOOKUP($A19,'Página31'!$A$1:$V$27,COLUMN(),TRUE),2)</f>
        <v>18921.37</v>
      </c>
      <c r="K19" s="48">
        <f>ROUND(IF(MONTH($A19)=12,2.333,1)*VLOOKUP($A19,'Página31'!$A$1:$V$27,COLUMN(),TRUE),2)</f>
        <v>17267.31</v>
      </c>
      <c r="L19" s="48" t="str">
        <f>VLOOKUP($A19,'Página31'!$A$1:$V$27,COLUMN(),TRUE)</f>
        <v/>
      </c>
      <c r="M19" s="48">
        <f>VLOOKUP($A19,'Página31'!$A$1:$V$27,COLUMN(),TRUE)</f>
        <v>16447.41325</v>
      </c>
      <c r="N19" s="48">
        <f>VLOOKUP($A19,'Página31'!$A$1:$V$27,COLUMN(),TRUE)</f>
        <v>24943.14</v>
      </c>
      <c r="O19" s="48" t="str">
        <f>VLOOKUP($A19,'Página31'!$A$1:$V$27,COLUMN(),TRUE)</f>
        <v/>
      </c>
      <c r="P19" s="48">
        <f>VLOOKUP($A19,'Página31'!$A$1:$V$27,COLUMN(),TRUE)</f>
        <v>3662.5</v>
      </c>
      <c r="Q19" s="48" t="str">
        <f>VLOOKUP($A19,'Página31'!$A$1:$V$27,COLUMN(),TRUE)</f>
        <v/>
      </c>
      <c r="R19" s="48">
        <f>VLOOKUP($A19,'Página31'!$A$1:$V$27,COLUMN(),TRUE)</f>
        <v>24943.07</v>
      </c>
      <c r="S19" s="48" t="str">
        <f>VLOOKUP($A19,'Página31'!$A$1:$V$27,COLUMN(),TRUE)</f>
        <v/>
      </c>
      <c r="T19" s="73">
        <f t="shared" si="5"/>
        <v>2017</v>
      </c>
      <c r="U19" s="73">
        <f t="shared" si="6"/>
        <v>6</v>
      </c>
    </row>
    <row r="20">
      <c r="A20" s="34">
        <v>42917.0</v>
      </c>
      <c r="B20" s="48">
        <f t="shared" si="1"/>
        <v>14802.68</v>
      </c>
      <c r="C20" s="48">
        <f>ROUND(IF(MONTH($A20)=12,2.333,1)*VLOOKUP($A20,'Página31'!$A$1:$V$27,COLUMN(),TRUE),2)</f>
        <v>25413.33</v>
      </c>
      <c r="D20" s="48">
        <f t="shared" si="2"/>
        <v>24943.14</v>
      </c>
      <c r="E20" s="48">
        <f>ROUND(IF(MONTH($A20)=12,2.333,1)*VLOOKUP($A20,'Página31'!$A$1:$V$27,COLUMN(),TRUE),2)</f>
        <v>25413.33</v>
      </c>
      <c r="F20" s="48">
        <f>ROUND(IF(MONTH($A20)=12,2.333,1)*VLOOKUP($A20,'Página31'!$A$1:$V$27,COLUMN(),TRUE),2)</f>
        <v>0</v>
      </c>
      <c r="G20" s="48">
        <f t="shared" si="3"/>
        <v>3662.5</v>
      </c>
      <c r="H20" s="48">
        <f>ROUND(IF(MONTH($A20)=12,2.333,1)*VLOOKUP($A20,'Página31'!$A$1:$V$27,COLUMN(),TRUE),2)</f>
        <v>19552.85</v>
      </c>
      <c r="I20" s="48">
        <f t="shared" si="4"/>
        <v>24943.07</v>
      </c>
      <c r="J20" s="48">
        <f>ROUND(IF(MONTH($A20)=12,2.333,1)*VLOOKUP($A20,'Página31'!$A$1:$V$27,COLUMN(),TRUE),2)</f>
        <v>18921.37</v>
      </c>
      <c r="K20" s="48">
        <f>ROUND(IF(MONTH($A20)=12,2.333,1)*VLOOKUP($A20,'Página31'!$A$1:$V$27,COLUMN(),TRUE),2)</f>
        <v>17267.31</v>
      </c>
      <c r="L20" s="48" t="str">
        <f>VLOOKUP($A20,'Página31'!$A$1:$V$27,COLUMN(),TRUE)</f>
        <v/>
      </c>
      <c r="M20" s="48">
        <f>VLOOKUP($A20,'Página31'!$A$1:$V$27,COLUMN(),TRUE)</f>
        <v>16447.41325</v>
      </c>
      <c r="N20" s="48">
        <f>VLOOKUP($A20,'Página31'!$A$1:$V$27,COLUMN(),TRUE)</f>
        <v>24943.14</v>
      </c>
      <c r="O20" s="48" t="str">
        <f>VLOOKUP($A20,'Página31'!$A$1:$V$27,COLUMN(),TRUE)</f>
        <v/>
      </c>
      <c r="P20" s="48">
        <f>VLOOKUP($A20,'Página31'!$A$1:$V$27,COLUMN(),TRUE)</f>
        <v>3662.5</v>
      </c>
      <c r="Q20" s="48" t="str">
        <f>VLOOKUP($A20,'Página31'!$A$1:$V$27,COLUMN(),TRUE)</f>
        <v/>
      </c>
      <c r="R20" s="48">
        <f>VLOOKUP($A20,'Página31'!$A$1:$V$27,COLUMN(),TRUE)</f>
        <v>24943.07</v>
      </c>
      <c r="S20" s="48" t="str">
        <f>VLOOKUP($A20,'Página31'!$A$1:$V$27,COLUMN(),TRUE)</f>
        <v/>
      </c>
      <c r="T20" s="73">
        <f t="shared" si="5"/>
        <v>2017</v>
      </c>
      <c r="U20" s="73">
        <f t="shared" si="6"/>
        <v>7</v>
      </c>
    </row>
    <row r="21">
      <c r="A21" s="34">
        <v>42948.0</v>
      </c>
      <c r="B21" s="48">
        <f t="shared" si="1"/>
        <v>14802.68</v>
      </c>
      <c r="C21" s="48">
        <f>ROUND(IF(MONTH($A21)=12,2.333,1)*VLOOKUP($A21,'Página31'!$A$1:$V$27,COLUMN(),TRUE),2)</f>
        <v>25413.33</v>
      </c>
      <c r="D21" s="48">
        <f t="shared" si="2"/>
        <v>24943.14</v>
      </c>
      <c r="E21" s="48">
        <f>ROUND(IF(MONTH($A21)=12,2.333,1)*VLOOKUP($A21,'Página31'!$A$1:$V$27,COLUMN(),TRUE),2)</f>
        <v>25413.33</v>
      </c>
      <c r="F21" s="48">
        <f>ROUND(IF(MONTH($A21)=12,2.333,1)*VLOOKUP($A21,'Página31'!$A$1:$V$27,COLUMN(),TRUE),2)</f>
        <v>0</v>
      </c>
      <c r="G21" s="48">
        <f t="shared" si="3"/>
        <v>3662.5</v>
      </c>
      <c r="H21" s="48">
        <f>ROUND(IF(MONTH($A21)=12,2.333,1)*VLOOKUP($A21,'Página31'!$A$1:$V$27,COLUMN(),TRUE),2)</f>
        <v>19552.85</v>
      </c>
      <c r="I21" s="48">
        <f t="shared" si="4"/>
        <v>24943.07</v>
      </c>
      <c r="J21" s="48">
        <f>ROUND(IF(MONTH($A21)=12,2.333,1)*VLOOKUP($A21,'Página31'!$A$1:$V$27,COLUMN(),TRUE),2)</f>
        <v>18921.37</v>
      </c>
      <c r="K21" s="48">
        <f>ROUND(IF(MONTH($A21)=12,2.333,1)*VLOOKUP($A21,'Página31'!$A$1:$V$27,COLUMN(),TRUE),2)</f>
        <v>17267.31</v>
      </c>
      <c r="L21" s="48" t="str">
        <f>VLOOKUP($A21,'Página31'!$A$1:$V$27,COLUMN(),TRUE)</f>
        <v/>
      </c>
      <c r="M21" s="48">
        <f>VLOOKUP($A21,'Página31'!$A$1:$V$27,COLUMN(),TRUE)</f>
        <v>16447.41325</v>
      </c>
      <c r="N21" s="48">
        <f>VLOOKUP($A21,'Página31'!$A$1:$V$27,COLUMN(),TRUE)</f>
        <v>24943.14</v>
      </c>
      <c r="O21" s="48" t="str">
        <f>VLOOKUP($A21,'Página31'!$A$1:$V$27,COLUMN(),TRUE)</f>
        <v/>
      </c>
      <c r="P21" s="48">
        <f>VLOOKUP($A21,'Página31'!$A$1:$V$27,COLUMN(),TRUE)</f>
        <v>3662.5</v>
      </c>
      <c r="Q21" s="48" t="str">
        <f>VLOOKUP($A21,'Página31'!$A$1:$V$27,COLUMN(),TRUE)</f>
        <v/>
      </c>
      <c r="R21" s="48">
        <f>VLOOKUP($A21,'Página31'!$A$1:$V$27,COLUMN(),TRUE)</f>
        <v>24943.07</v>
      </c>
      <c r="S21" s="48" t="str">
        <f>VLOOKUP($A21,'Página31'!$A$1:$V$27,COLUMN(),TRUE)</f>
        <v/>
      </c>
      <c r="T21" s="73">
        <f t="shared" si="5"/>
        <v>2017</v>
      </c>
      <c r="U21" s="73">
        <f t="shared" si="6"/>
        <v>8</v>
      </c>
    </row>
    <row r="22">
      <c r="A22" s="34">
        <v>42979.0</v>
      </c>
      <c r="B22" s="48">
        <f t="shared" si="1"/>
        <v>14802.68</v>
      </c>
      <c r="C22" s="48">
        <f>ROUND(IF(MONTH($A22)=12,2.333,1)*VLOOKUP($A22,'Página31'!$A$1:$V$27,COLUMN(),TRUE),2)</f>
        <v>25413.33</v>
      </c>
      <c r="D22" s="48">
        <f t="shared" si="2"/>
        <v>24943.14</v>
      </c>
      <c r="E22" s="48">
        <f>ROUND(IF(MONTH($A22)=12,2.333,1)*VLOOKUP($A22,'Página31'!$A$1:$V$27,COLUMN(),TRUE),2)</f>
        <v>25413.33</v>
      </c>
      <c r="F22" s="48">
        <f>ROUND(IF(MONTH($A22)=12,2.333,1)*VLOOKUP($A22,'Página31'!$A$1:$V$27,COLUMN(),TRUE),2)</f>
        <v>0</v>
      </c>
      <c r="G22" s="48">
        <f t="shared" si="3"/>
        <v>3662.5</v>
      </c>
      <c r="H22" s="48">
        <f>ROUND(IF(MONTH($A22)=12,2.333,1)*VLOOKUP($A22,'Página31'!$A$1:$V$27,COLUMN(),TRUE),2)</f>
        <v>19552.85</v>
      </c>
      <c r="I22" s="48">
        <f t="shared" si="4"/>
        <v>24943.07</v>
      </c>
      <c r="J22" s="48">
        <f>ROUND(IF(MONTH($A22)=12,2.333,1)*VLOOKUP($A22,'Página31'!$A$1:$V$27,COLUMN(),TRUE),2)</f>
        <v>18921.37</v>
      </c>
      <c r="K22" s="48">
        <f>ROUND(IF(MONTH($A22)=12,2.333,1)*VLOOKUP($A22,'Página31'!$A$1:$V$27,COLUMN(),TRUE),2)</f>
        <v>17267.31</v>
      </c>
      <c r="L22" s="48" t="str">
        <f>VLOOKUP($A22,'Página31'!$A$1:$V$27,COLUMN(),TRUE)</f>
        <v/>
      </c>
      <c r="M22" s="48">
        <f>VLOOKUP($A22,'Página31'!$A$1:$V$27,COLUMN(),TRUE)</f>
        <v>16447.41325</v>
      </c>
      <c r="N22" s="48">
        <f>VLOOKUP($A22,'Página31'!$A$1:$V$27,COLUMN(),TRUE)</f>
        <v>24943.14</v>
      </c>
      <c r="O22" s="48" t="str">
        <f>VLOOKUP($A22,'Página31'!$A$1:$V$27,COLUMN(),TRUE)</f>
        <v/>
      </c>
      <c r="P22" s="48">
        <f>VLOOKUP($A22,'Página31'!$A$1:$V$27,COLUMN(),TRUE)</f>
        <v>3662.5</v>
      </c>
      <c r="Q22" s="48" t="str">
        <f>VLOOKUP($A22,'Página31'!$A$1:$V$27,COLUMN(),TRUE)</f>
        <v/>
      </c>
      <c r="R22" s="48">
        <f>VLOOKUP($A22,'Página31'!$A$1:$V$27,COLUMN(),TRUE)</f>
        <v>24943.07</v>
      </c>
      <c r="S22" s="48" t="str">
        <f>VLOOKUP($A22,'Página31'!$A$1:$V$27,COLUMN(),TRUE)</f>
        <v/>
      </c>
      <c r="T22" s="73">
        <f t="shared" si="5"/>
        <v>2017</v>
      </c>
      <c r="U22" s="73">
        <f t="shared" si="6"/>
        <v>9</v>
      </c>
    </row>
    <row r="23">
      <c r="A23" s="34">
        <v>43009.0</v>
      </c>
      <c r="B23" s="48">
        <f t="shared" si="1"/>
        <v>14802.68</v>
      </c>
      <c r="C23" s="48">
        <f>ROUND(IF(MONTH($A23)=12,2.333,1)*VLOOKUP($A23,'Página31'!$A$1:$V$27,COLUMN(),TRUE),2)</f>
        <v>25413.33</v>
      </c>
      <c r="D23" s="48">
        <f t="shared" si="2"/>
        <v>24943.14</v>
      </c>
      <c r="E23" s="48">
        <f>ROUND(IF(MONTH($A23)=12,2.333,1)*VLOOKUP($A23,'Página31'!$A$1:$V$27,COLUMN(),TRUE),2)</f>
        <v>25413.33</v>
      </c>
      <c r="F23" s="48">
        <f>ROUND(IF(MONTH($A23)=12,2.333,1)*VLOOKUP($A23,'Página31'!$A$1:$V$27,COLUMN(),TRUE),2)</f>
        <v>0</v>
      </c>
      <c r="G23" s="48">
        <f t="shared" si="3"/>
        <v>3662.5</v>
      </c>
      <c r="H23" s="48">
        <f>ROUND(IF(MONTH($A23)=12,2.333,1)*VLOOKUP($A23,'Página31'!$A$1:$V$27,COLUMN(),TRUE),2)</f>
        <v>19552.85</v>
      </c>
      <c r="I23" s="48">
        <f t="shared" si="4"/>
        <v>24943.07</v>
      </c>
      <c r="J23" s="48">
        <f>ROUND(IF(MONTH($A23)=12,2.333,1)*VLOOKUP($A23,'Página31'!$A$1:$V$27,COLUMN(),TRUE),2)</f>
        <v>18921.37</v>
      </c>
      <c r="K23" s="48">
        <f>ROUND(IF(MONTH($A23)=12,2.333,1)*VLOOKUP($A23,'Página31'!$A$1:$V$27,COLUMN(),TRUE),2)</f>
        <v>17267.31</v>
      </c>
      <c r="L23" s="48" t="str">
        <f>VLOOKUP($A23,'Página31'!$A$1:$V$27,COLUMN(),TRUE)</f>
        <v/>
      </c>
      <c r="M23" s="48">
        <f>VLOOKUP($A23,'Página31'!$A$1:$V$27,COLUMN(),TRUE)</f>
        <v>16447.41325</v>
      </c>
      <c r="N23" s="48">
        <f>VLOOKUP($A23,'Página31'!$A$1:$V$27,COLUMN(),TRUE)</f>
        <v>24943.14</v>
      </c>
      <c r="O23" s="48" t="str">
        <f>VLOOKUP($A23,'Página31'!$A$1:$V$27,COLUMN(),TRUE)</f>
        <v/>
      </c>
      <c r="P23" s="48">
        <f>VLOOKUP($A23,'Página31'!$A$1:$V$27,COLUMN(),TRUE)</f>
        <v>3662.5</v>
      </c>
      <c r="Q23" s="48" t="str">
        <f>VLOOKUP($A23,'Página31'!$A$1:$V$27,COLUMN(),TRUE)</f>
        <v/>
      </c>
      <c r="R23" s="48">
        <f>VLOOKUP($A23,'Página31'!$A$1:$V$27,COLUMN(),TRUE)</f>
        <v>24943.07</v>
      </c>
      <c r="S23" s="48" t="str">
        <f>VLOOKUP($A23,'Página31'!$A$1:$V$27,COLUMN(),TRUE)</f>
        <v/>
      </c>
      <c r="T23" s="73">
        <f t="shared" si="5"/>
        <v>2017</v>
      </c>
      <c r="U23" s="73">
        <f t="shared" si="6"/>
        <v>10</v>
      </c>
    </row>
    <row r="24">
      <c r="A24" s="34">
        <v>43040.0</v>
      </c>
      <c r="B24" s="48">
        <f t="shared" si="1"/>
        <v>14802.68</v>
      </c>
      <c r="C24" s="48">
        <f>ROUND(IF(MONTH($A24)=12,2.333,1)*VLOOKUP($A24,'Página31'!$A$1:$V$27,COLUMN(),TRUE),2)</f>
        <v>25413.33</v>
      </c>
      <c r="D24" s="48">
        <f t="shared" si="2"/>
        <v>24943.14</v>
      </c>
      <c r="E24" s="48">
        <f>ROUND(IF(MONTH($A24)=12,2.333,1)*VLOOKUP($A24,'Página31'!$A$1:$V$27,COLUMN(),TRUE),2)</f>
        <v>25413.33</v>
      </c>
      <c r="F24" s="48">
        <f>ROUND(IF(MONTH($A24)=12,2.333,1)*VLOOKUP($A24,'Página31'!$A$1:$V$27,COLUMN(),TRUE),2)</f>
        <v>0</v>
      </c>
      <c r="G24" s="48">
        <f t="shared" si="3"/>
        <v>3662.5</v>
      </c>
      <c r="H24" s="48">
        <f>ROUND(IF(MONTH($A24)=12,2.333,1)*VLOOKUP($A24,'Página31'!$A$1:$V$27,COLUMN(),TRUE),2)</f>
        <v>19552.85</v>
      </c>
      <c r="I24" s="48">
        <f t="shared" si="4"/>
        <v>24943.07</v>
      </c>
      <c r="J24" s="48">
        <f>ROUND(IF(MONTH($A24)=12,2.333,1)*VLOOKUP($A24,'Página31'!$A$1:$V$27,COLUMN(),TRUE),2)</f>
        <v>18921.37</v>
      </c>
      <c r="K24" s="48">
        <f>ROUND(IF(MONTH($A24)=12,2.333,1)*VLOOKUP($A24,'Página31'!$A$1:$V$27,COLUMN(),TRUE),2)</f>
        <v>17267.31</v>
      </c>
      <c r="L24" s="48" t="str">
        <f>VLOOKUP($A24,'Página31'!$A$1:$V$27,COLUMN(),TRUE)</f>
        <v/>
      </c>
      <c r="M24" s="48">
        <f>VLOOKUP($A24,'Página31'!$A$1:$V$27,COLUMN(),TRUE)</f>
        <v>16447.41325</v>
      </c>
      <c r="N24" s="48">
        <f>VLOOKUP($A24,'Página31'!$A$1:$V$27,COLUMN(),TRUE)</f>
        <v>24943.14</v>
      </c>
      <c r="O24" s="48" t="str">
        <f>VLOOKUP($A24,'Página31'!$A$1:$V$27,COLUMN(),TRUE)</f>
        <v/>
      </c>
      <c r="P24" s="48">
        <f>VLOOKUP($A24,'Página31'!$A$1:$V$27,COLUMN(),TRUE)</f>
        <v>3662.5</v>
      </c>
      <c r="Q24" s="48" t="str">
        <f>VLOOKUP($A24,'Página31'!$A$1:$V$27,COLUMN(),TRUE)</f>
        <v/>
      </c>
      <c r="R24" s="48">
        <f>VLOOKUP($A24,'Página31'!$A$1:$V$27,COLUMN(),TRUE)</f>
        <v>24943.07</v>
      </c>
      <c r="S24" s="48" t="str">
        <f>VLOOKUP($A24,'Página31'!$A$1:$V$27,COLUMN(),TRUE)</f>
        <v/>
      </c>
      <c r="T24" s="73">
        <f t="shared" si="5"/>
        <v>2017</v>
      </c>
      <c r="U24" s="73">
        <f t="shared" si="6"/>
        <v>11</v>
      </c>
    </row>
    <row r="25">
      <c r="A25" s="34">
        <v>43070.0</v>
      </c>
      <c r="B25" s="48">
        <f t="shared" si="1"/>
        <v>34534.65</v>
      </c>
      <c r="C25" s="48">
        <f>ROUND(IF(MONTH($A25)=12,2.333,1)*VLOOKUP($A25,'Página31'!$A$1:$V$27,COLUMN(),TRUE),2)</f>
        <v>59289.29</v>
      </c>
      <c r="D25" s="48">
        <f t="shared" si="2"/>
        <v>58192.35</v>
      </c>
      <c r="E25" s="48">
        <f>ROUND(IF(MONTH($A25)=12,2.333,1)*VLOOKUP($A25,'Página31'!$A$1:$V$27,COLUMN(),TRUE),2)</f>
        <v>59289.29</v>
      </c>
      <c r="F25" s="48">
        <f>ROUND(IF(MONTH($A25)=12,2.333,1)*VLOOKUP($A25,'Página31'!$A$1:$V$27,COLUMN(),TRUE),2)</f>
        <v>0</v>
      </c>
      <c r="G25" s="48">
        <f t="shared" si="3"/>
        <v>8544.61</v>
      </c>
      <c r="H25" s="48">
        <f>ROUND(IF(MONTH($A25)=12,2.333,1)*VLOOKUP($A25,'Página31'!$A$1:$V$27,COLUMN(),TRUE),2)</f>
        <v>45616.79</v>
      </c>
      <c r="I25" s="48">
        <f t="shared" si="4"/>
        <v>58192.18</v>
      </c>
      <c r="J25" s="48">
        <f>ROUND(IF(MONTH($A25)=12,2.333,1)*VLOOKUP($A25,'Página31'!$A$1:$V$27,COLUMN(),TRUE),2)</f>
        <v>44143.57</v>
      </c>
      <c r="K25" s="48">
        <f>ROUND(IF(MONTH($A25)=12,2.333,1)*VLOOKUP($A25,'Página31'!$A$1:$V$27,COLUMN(),TRUE),2)</f>
        <v>40284.62</v>
      </c>
      <c r="L25" s="48" t="str">
        <f>VLOOKUP($A25,'Página31'!$A$1:$V$27,COLUMN(),TRUE)</f>
        <v/>
      </c>
      <c r="M25" s="48">
        <f>VLOOKUP($A25,'Página31'!$A$1:$V$27,COLUMN(),TRUE)</f>
        <v>16447.41325</v>
      </c>
      <c r="N25" s="48">
        <f>VLOOKUP($A25,'Página31'!$A$1:$V$27,COLUMN(),TRUE)</f>
        <v>24943.14</v>
      </c>
      <c r="O25" s="48" t="str">
        <f>VLOOKUP($A25,'Página31'!$A$1:$V$27,COLUMN(),TRUE)</f>
        <v/>
      </c>
      <c r="P25" s="48">
        <f>VLOOKUP($A25,'Página31'!$A$1:$V$27,COLUMN(),TRUE)</f>
        <v>3662.5</v>
      </c>
      <c r="Q25" s="48" t="str">
        <f>VLOOKUP($A25,'Página31'!$A$1:$V$27,COLUMN(),TRUE)</f>
        <v/>
      </c>
      <c r="R25" s="48">
        <f>VLOOKUP($A25,'Página31'!$A$1:$V$27,COLUMN(),TRUE)</f>
        <v>24943.07</v>
      </c>
      <c r="S25" s="48" t="str">
        <f>VLOOKUP($A25,'Página31'!$A$1:$V$27,COLUMN(),TRUE)</f>
        <v/>
      </c>
      <c r="T25" s="73">
        <f t="shared" si="5"/>
        <v>2017</v>
      </c>
      <c r="U25" s="73">
        <f t="shared" si="6"/>
        <v>12</v>
      </c>
    </row>
    <row r="26">
      <c r="A26" s="34">
        <v>43101.0</v>
      </c>
      <c r="B26" s="48">
        <f t="shared" si="1"/>
        <v>15733.55</v>
      </c>
      <c r="C26" s="48">
        <f>ROUND(IF(MONTH($A26)=12,2.333,1)*VLOOKUP($A26,'Página31'!$A$1:$V$27,COLUMN(),TRUE),2)</f>
        <v>27100.64</v>
      </c>
      <c r="D26" s="48">
        <f t="shared" si="2"/>
        <v>26127.94</v>
      </c>
      <c r="E26" s="48">
        <f>ROUND(IF(MONTH($A26)=12,2.333,1)*VLOOKUP($A26,'Página31'!$A$1:$V$27,COLUMN(),TRUE),2)</f>
        <v>27100.64</v>
      </c>
      <c r="F26" s="48">
        <f>ROUND(IF(MONTH($A26)=12,2.333,1)*VLOOKUP($A26,'Página31'!$A$1:$V$27,COLUMN(),TRUE),2)</f>
        <v>0</v>
      </c>
      <c r="G26" s="48">
        <f t="shared" si="3"/>
        <v>6451.99</v>
      </c>
      <c r="H26" s="48">
        <f>ROUND(IF(MONTH($A26)=12,2.333,1)*VLOOKUP($A26,'Página31'!$A$1:$V$27,COLUMN(),TRUE),2)</f>
        <v>22289.17</v>
      </c>
      <c r="I26" s="48">
        <f t="shared" si="4"/>
        <v>26127.87</v>
      </c>
      <c r="J26" s="48">
        <f>ROUND(IF(MONTH($A26)=12,2.333,1)*VLOOKUP($A26,'Página31'!$A$1:$V$27,COLUMN(),TRUE),2)</f>
        <v>19685.87</v>
      </c>
      <c r="K26" s="48">
        <f>ROUND(IF(MONTH($A26)=12,2.333,1)*VLOOKUP($A26,'Página31'!$A$1:$V$27,COLUMN(),TRUE),2)</f>
        <v>18356.05</v>
      </c>
      <c r="L26" s="48" t="str">
        <f>VLOOKUP($A26,'Página31'!$A$1:$V$27,COLUMN(),TRUE)</f>
        <v/>
      </c>
      <c r="M26" s="48">
        <f>VLOOKUP($A26,'Página31'!$A$1:$V$27,COLUMN(),TRUE)</f>
        <v>17481.71275</v>
      </c>
      <c r="N26" s="48">
        <f>VLOOKUP($A26,'Página31'!$A$1:$V$27,COLUMN(),TRUE)</f>
        <v>26127.94</v>
      </c>
      <c r="O26" s="48" t="str">
        <f>VLOOKUP($A26,'Página31'!$A$1:$V$27,COLUMN(),TRUE)</f>
        <v/>
      </c>
      <c r="P26" s="48">
        <f>VLOOKUP($A26,'Página31'!$A$1:$V$27,COLUMN(),TRUE)</f>
        <v>6451.99</v>
      </c>
      <c r="Q26" s="48" t="str">
        <f>VLOOKUP($A26,'Página31'!$A$1:$V$27,COLUMN(),TRUE)</f>
        <v/>
      </c>
      <c r="R26" s="48">
        <f>VLOOKUP($A26,'Página31'!$A$1:$V$27,COLUMN(),TRUE)</f>
        <v>26127.87</v>
      </c>
      <c r="S26" s="48" t="str">
        <f>VLOOKUP($A26,'Página31'!$A$1:$V$27,COLUMN(),TRUE)</f>
        <v/>
      </c>
      <c r="T26" s="73">
        <f t="shared" si="5"/>
        <v>2018</v>
      </c>
      <c r="U26" s="73">
        <f t="shared" si="6"/>
        <v>1</v>
      </c>
    </row>
    <row r="27">
      <c r="A27" s="34">
        <v>43132.0</v>
      </c>
      <c r="B27" s="48">
        <f t="shared" si="1"/>
        <v>15733.55</v>
      </c>
      <c r="C27" s="48">
        <f>ROUND(IF(MONTH($A27)=12,2.333,1)*VLOOKUP($A27,'Página31'!$A$1:$V$27,COLUMN(),TRUE),2)</f>
        <v>27100.64</v>
      </c>
      <c r="D27" s="48">
        <f t="shared" si="2"/>
        <v>26127.94</v>
      </c>
      <c r="E27" s="48">
        <f>ROUND(IF(MONTH($A27)=12,2.333,1)*VLOOKUP($A27,'Página31'!$A$1:$V$27,COLUMN(),TRUE),2)</f>
        <v>27100.64</v>
      </c>
      <c r="F27" s="48">
        <f>ROUND(IF(MONTH($A27)=12,2.333,1)*VLOOKUP($A27,'Página31'!$A$1:$V$27,COLUMN(),TRUE),2)</f>
        <v>0</v>
      </c>
      <c r="G27" s="48">
        <f t="shared" si="3"/>
        <v>6451.99</v>
      </c>
      <c r="H27" s="48">
        <f>ROUND(IF(MONTH($A27)=12,2.333,1)*VLOOKUP($A27,'Página31'!$A$1:$V$27,COLUMN(),TRUE),2)</f>
        <v>22289.17</v>
      </c>
      <c r="I27" s="48">
        <f t="shared" si="4"/>
        <v>26127.87</v>
      </c>
      <c r="J27" s="48">
        <f>ROUND(IF(MONTH($A27)=12,2.333,1)*VLOOKUP($A27,'Página31'!$A$1:$V$27,COLUMN(),TRUE),2)</f>
        <v>19685.87</v>
      </c>
      <c r="K27" s="48">
        <f>ROUND(IF(MONTH($A27)=12,2.333,1)*VLOOKUP($A27,'Página31'!$A$1:$V$27,COLUMN(),TRUE),2)</f>
        <v>18356.05</v>
      </c>
      <c r="L27" s="48" t="str">
        <f>VLOOKUP($A27,'Página31'!$A$1:$V$27,COLUMN(),TRUE)</f>
        <v/>
      </c>
      <c r="M27" s="48">
        <f>VLOOKUP($A27,'Página31'!$A$1:$V$27,COLUMN(),TRUE)</f>
        <v>17481.71275</v>
      </c>
      <c r="N27" s="48">
        <f>VLOOKUP($A27,'Página31'!$A$1:$V$27,COLUMN(),TRUE)</f>
        <v>26127.94</v>
      </c>
      <c r="O27" s="48" t="str">
        <f>VLOOKUP($A27,'Página31'!$A$1:$V$27,COLUMN(),TRUE)</f>
        <v/>
      </c>
      <c r="P27" s="48">
        <f>VLOOKUP($A27,'Página31'!$A$1:$V$27,COLUMN(),TRUE)</f>
        <v>6451.99</v>
      </c>
      <c r="Q27" s="48" t="str">
        <f>VLOOKUP($A27,'Página31'!$A$1:$V$27,COLUMN(),TRUE)</f>
        <v/>
      </c>
      <c r="R27" s="48">
        <f>VLOOKUP($A27,'Página31'!$A$1:$V$27,COLUMN(),TRUE)</f>
        <v>26127.87</v>
      </c>
      <c r="S27" s="48" t="str">
        <f>VLOOKUP($A27,'Página31'!$A$1:$V$27,COLUMN(),TRUE)</f>
        <v/>
      </c>
      <c r="T27" s="73">
        <f t="shared" si="5"/>
        <v>2018</v>
      </c>
      <c r="U27" s="73">
        <f t="shared" si="6"/>
        <v>2</v>
      </c>
    </row>
    <row r="28">
      <c r="A28" s="34">
        <v>43160.0</v>
      </c>
      <c r="B28" s="48">
        <f t="shared" si="1"/>
        <v>15733.55</v>
      </c>
      <c r="C28" s="48">
        <f>ROUND(IF(MONTH($A28)=12,2.333,1)*VLOOKUP($A28,'Página31'!$A$1:$V$27,COLUMN(),TRUE),2)</f>
        <v>27100.64</v>
      </c>
      <c r="D28" s="48">
        <f t="shared" si="2"/>
        <v>26127.94</v>
      </c>
      <c r="E28" s="48">
        <f>ROUND(IF(MONTH($A28)=12,2.333,1)*VLOOKUP($A28,'Página31'!$A$1:$V$27,COLUMN(),TRUE),2)</f>
        <v>27100.64</v>
      </c>
      <c r="F28" s="48">
        <f>ROUND(IF(MONTH($A28)=12,2.333,1)*VLOOKUP($A28,'Página31'!$A$1:$V$27,COLUMN(),TRUE),2)</f>
        <v>0</v>
      </c>
      <c r="G28" s="48">
        <f t="shared" si="3"/>
        <v>6451.99</v>
      </c>
      <c r="H28" s="48">
        <f>ROUND(IF(MONTH($A28)=12,2.333,1)*VLOOKUP($A28,'Página31'!$A$1:$V$27,COLUMN(),TRUE),2)</f>
        <v>22289.17</v>
      </c>
      <c r="I28" s="48">
        <f t="shared" si="4"/>
        <v>26127.87</v>
      </c>
      <c r="J28" s="48">
        <f>ROUND(IF(MONTH($A28)=12,2.333,1)*VLOOKUP($A28,'Página31'!$A$1:$V$27,COLUMN(),TRUE),2)</f>
        <v>19685.87</v>
      </c>
      <c r="K28" s="48">
        <f>ROUND(IF(MONTH($A28)=12,2.333,1)*VLOOKUP($A28,'Página31'!$A$1:$V$27,COLUMN(),TRUE),2)</f>
        <v>18356.05</v>
      </c>
      <c r="L28" s="48" t="str">
        <f>VLOOKUP($A28,'Página31'!$A$1:$V$27,COLUMN(),TRUE)</f>
        <v/>
      </c>
      <c r="M28" s="48">
        <f>VLOOKUP($A28,'Página31'!$A$1:$V$27,COLUMN(),TRUE)</f>
        <v>17481.71275</v>
      </c>
      <c r="N28" s="48">
        <f>VLOOKUP($A28,'Página31'!$A$1:$V$27,COLUMN(),TRUE)</f>
        <v>26127.94</v>
      </c>
      <c r="O28" s="48" t="str">
        <f>VLOOKUP($A28,'Página31'!$A$1:$V$27,COLUMN(),TRUE)</f>
        <v/>
      </c>
      <c r="P28" s="48">
        <f>VLOOKUP($A28,'Página31'!$A$1:$V$27,COLUMN(),TRUE)</f>
        <v>6451.99</v>
      </c>
      <c r="Q28" s="48" t="str">
        <f>VLOOKUP($A28,'Página31'!$A$1:$V$27,COLUMN(),TRUE)</f>
        <v/>
      </c>
      <c r="R28" s="48">
        <f>VLOOKUP($A28,'Página31'!$A$1:$V$27,COLUMN(),TRUE)</f>
        <v>26127.87</v>
      </c>
      <c r="S28" s="48" t="str">
        <f>VLOOKUP($A28,'Página31'!$A$1:$V$27,COLUMN(),TRUE)</f>
        <v/>
      </c>
      <c r="T28" s="73">
        <f t="shared" si="5"/>
        <v>2018</v>
      </c>
      <c r="U28" s="73">
        <f t="shared" si="6"/>
        <v>3</v>
      </c>
    </row>
    <row r="29">
      <c r="A29" s="34">
        <v>43191.0</v>
      </c>
      <c r="B29" s="48">
        <f t="shared" si="1"/>
        <v>15733.55</v>
      </c>
      <c r="C29" s="48">
        <f>ROUND(IF(MONTH($A29)=12,2.333,1)*VLOOKUP($A29,'Página31'!$A$1:$V$27,COLUMN(),TRUE),2)</f>
        <v>27100.64</v>
      </c>
      <c r="D29" s="48">
        <f t="shared" si="2"/>
        <v>26127.94</v>
      </c>
      <c r="E29" s="48">
        <f>ROUND(IF(MONTH($A29)=12,2.333,1)*VLOOKUP($A29,'Página31'!$A$1:$V$27,COLUMN(),TRUE),2)</f>
        <v>27100.64</v>
      </c>
      <c r="F29" s="48">
        <f>ROUND(IF(MONTH($A29)=12,2.333,1)*VLOOKUP($A29,'Página31'!$A$1:$V$27,COLUMN(),TRUE),2)</f>
        <v>0</v>
      </c>
      <c r="G29" s="48">
        <f t="shared" si="3"/>
        <v>6451.99</v>
      </c>
      <c r="H29" s="48">
        <f>ROUND(IF(MONTH($A29)=12,2.333,1)*VLOOKUP($A29,'Página31'!$A$1:$V$27,COLUMN(),TRUE),2)</f>
        <v>22289.17</v>
      </c>
      <c r="I29" s="48">
        <f t="shared" si="4"/>
        <v>26127.87</v>
      </c>
      <c r="J29" s="48">
        <f>ROUND(IF(MONTH($A29)=12,2.333,1)*VLOOKUP($A29,'Página31'!$A$1:$V$27,COLUMN(),TRUE),2)</f>
        <v>19685.87</v>
      </c>
      <c r="K29" s="48">
        <f>ROUND(IF(MONTH($A29)=12,2.333,1)*VLOOKUP($A29,'Página31'!$A$1:$V$27,COLUMN(),TRUE),2)</f>
        <v>18356.05</v>
      </c>
      <c r="L29" s="48" t="str">
        <f>VLOOKUP($A29,'Página31'!$A$1:$V$27,COLUMN(),TRUE)</f>
        <v/>
      </c>
      <c r="M29" s="48">
        <f>VLOOKUP($A29,'Página31'!$A$1:$V$27,COLUMN(),TRUE)</f>
        <v>17481.71275</v>
      </c>
      <c r="N29" s="48">
        <f>VLOOKUP($A29,'Página31'!$A$1:$V$27,COLUMN(),TRUE)</f>
        <v>26127.94</v>
      </c>
      <c r="O29" s="48" t="str">
        <f>VLOOKUP($A29,'Página31'!$A$1:$V$27,COLUMN(),TRUE)</f>
        <v/>
      </c>
      <c r="P29" s="48">
        <f>VLOOKUP($A29,'Página31'!$A$1:$V$27,COLUMN(),TRUE)</f>
        <v>6451.99</v>
      </c>
      <c r="Q29" s="48" t="str">
        <f>VLOOKUP($A29,'Página31'!$A$1:$V$27,COLUMN(),TRUE)</f>
        <v/>
      </c>
      <c r="R29" s="48">
        <f>VLOOKUP($A29,'Página31'!$A$1:$V$27,COLUMN(),TRUE)</f>
        <v>26127.87</v>
      </c>
      <c r="S29" s="48" t="str">
        <f>VLOOKUP($A29,'Página31'!$A$1:$V$27,COLUMN(),TRUE)</f>
        <v/>
      </c>
      <c r="T29" s="73">
        <f t="shared" si="5"/>
        <v>2018</v>
      </c>
      <c r="U29" s="73">
        <f t="shared" si="6"/>
        <v>4</v>
      </c>
    </row>
    <row r="30">
      <c r="A30" s="34">
        <v>43221.0</v>
      </c>
      <c r="B30" s="48">
        <f t="shared" si="1"/>
        <v>15733.55</v>
      </c>
      <c r="C30" s="48">
        <f>ROUND(IF(MONTH($A30)=12,2.333,1)*VLOOKUP($A30,'Página31'!$A$1:$V$27,COLUMN(),TRUE),2)</f>
        <v>27100.64</v>
      </c>
      <c r="D30" s="48">
        <f t="shared" si="2"/>
        <v>26127.94</v>
      </c>
      <c r="E30" s="48">
        <f>ROUND(IF(MONTH($A30)=12,2.333,1)*VLOOKUP($A30,'Página31'!$A$1:$V$27,COLUMN(),TRUE),2)</f>
        <v>27100.64</v>
      </c>
      <c r="F30" s="48">
        <f>ROUND(IF(MONTH($A30)=12,2.333,1)*VLOOKUP($A30,'Página31'!$A$1:$V$27,COLUMN(),TRUE),2)</f>
        <v>0</v>
      </c>
      <c r="G30" s="48">
        <f t="shared" si="3"/>
        <v>6451.99</v>
      </c>
      <c r="H30" s="48">
        <f>ROUND(IF(MONTH($A30)=12,2.333,1)*VLOOKUP($A30,'Página31'!$A$1:$V$27,COLUMN(),TRUE),2)</f>
        <v>22289.17</v>
      </c>
      <c r="I30" s="48">
        <f t="shared" si="4"/>
        <v>26127.87</v>
      </c>
      <c r="J30" s="48">
        <f>ROUND(IF(MONTH($A30)=12,2.333,1)*VLOOKUP($A30,'Página31'!$A$1:$V$27,COLUMN(),TRUE),2)</f>
        <v>19685.87</v>
      </c>
      <c r="K30" s="48">
        <f>ROUND(IF(MONTH($A30)=12,2.333,1)*VLOOKUP($A30,'Página31'!$A$1:$V$27,COLUMN(),TRUE),2)</f>
        <v>18356.05</v>
      </c>
      <c r="L30" s="48" t="str">
        <f>VLOOKUP($A30,'Página31'!$A$1:$V$27,COLUMN(),TRUE)</f>
        <v/>
      </c>
      <c r="M30" s="48">
        <f>VLOOKUP($A30,'Página31'!$A$1:$V$27,COLUMN(),TRUE)</f>
        <v>17481.71275</v>
      </c>
      <c r="N30" s="48">
        <f>VLOOKUP($A30,'Página31'!$A$1:$V$27,COLUMN(),TRUE)</f>
        <v>26127.94</v>
      </c>
      <c r="O30" s="48" t="str">
        <f>VLOOKUP($A30,'Página31'!$A$1:$V$27,COLUMN(),TRUE)</f>
        <v/>
      </c>
      <c r="P30" s="48">
        <f>VLOOKUP($A30,'Página31'!$A$1:$V$27,COLUMN(),TRUE)</f>
        <v>6451.99</v>
      </c>
      <c r="Q30" s="48" t="str">
        <f>VLOOKUP($A30,'Página31'!$A$1:$V$27,COLUMN(),TRUE)</f>
        <v/>
      </c>
      <c r="R30" s="48">
        <f>VLOOKUP($A30,'Página31'!$A$1:$V$27,COLUMN(),TRUE)</f>
        <v>26127.87</v>
      </c>
      <c r="S30" s="48" t="str">
        <f>VLOOKUP($A30,'Página31'!$A$1:$V$27,COLUMN(),TRUE)</f>
        <v/>
      </c>
      <c r="T30" s="73">
        <f t="shared" si="5"/>
        <v>2018</v>
      </c>
      <c r="U30" s="73">
        <f t="shared" si="6"/>
        <v>5</v>
      </c>
    </row>
    <row r="31">
      <c r="A31" s="34">
        <v>43252.0</v>
      </c>
      <c r="B31" s="48">
        <f t="shared" si="1"/>
        <v>15733.55</v>
      </c>
      <c r="C31" s="48">
        <f>ROUND(IF(MONTH($A31)=12,2.333,1)*VLOOKUP($A31,'Página31'!$A$1:$V$27,COLUMN(),TRUE),2)</f>
        <v>27100.64</v>
      </c>
      <c r="D31" s="48">
        <f t="shared" si="2"/>
        <v>26127.94</v>
      </c>
      <c r="E31" s="48">
        <f>ROUND(IF(MONTH($A31)=12,2.333,1)*VLOOKUP($A31,'Página31'!$A$1:$V$27,COLUMN(),TRUE),2)</f>
        <v>27100.64</v>
      </c>
      <c r="F31" s="48">
        <f>ROUND(IF(MONTH($A31)=12,2.333,1)*VLOOKUP($A31,'Página31'!$A$1:$V$27,COLUMN(),TRUE),2)</f>
        <v>0</v>
      </c>
      <c r="G31" s="48">
        <f t="shared" si="3"/>
        <v>6451.99</v>
      </c>
      <c r="H31" s="48">
        <f>ROUND(IF(MONTH($A31)=12,2.333,1)*VLOOKUP($A31,'Página31'!$A$1:$V$27,COLUMN(),TRUE),2)</f>
        <v>22289.17</v>
      </c>
      <c r="I31" s="48">
        <f t="shared" si="4"/>
        <v>26127.87</v>
      </c>
      <c r="J31" s="48">
        <f>ROUND(IF(MONTH($A31)=12,2.333,1)*VLOOKUP($A31,'Página31'!$A$1:$V$27,COLUMN(),TRUE),2)</f>
        <v>19685.87</v>
      </c>
      <c r="K31" s="48">
        <f>ROUND(IF(MONTH($A31)=12,2.333,1)*VLOOKUP($A31,'Página31'!$A$1:$V$27,COLUMN(),TRUE),2)</f>
        <v>18356.05</v>
      </c>
      <c r="L31" s="48" t="str">
        <f>VLOOKUP($A31,'Página31'!$A$1:$V$27,COLUMN(),TRUE)</f>
        <v/>
      </c>
      <c r="M31" s="48">
        <f>VLOOKUP($A31,'Página31'!$A$1:$V$27,COLUMN(),TRUE)</f>
        <v>17481.71275</v>
      </c>
      <c r="N31" s="48">
        <f>VLOOKUP($A31,'Página31'!$A$1:$V$27,COLUMN(),TRUE)</f>
        <v>26127.94</v>
      </c>
      <c r="O31" s="48" t="str">
        <f>VLOOKUP($A31,'Página31'!$A$1:$V$27,COLUMN(),TRUE)</f>
        <v/>
      </c>
      <c r="P31" s="48">
        <f>VLOOKUP($A31,'Página31'!$A$1:$V$27,COLUMN(),TRUE)</f>
        <v>6451.99</v>
      </c>
      <c r="Q31" s="48" t="str">
        <f>VLOOKUP($A31,'Página31'!$A$1:$V$27,COLUMN(),TRUE)</f>
        <v/>
      </c>
      <c r="R31" s="48">
        <f>VLOOKUP($A31,'Página31'!$A$1:$V$27,COLUMN(),TRUE)</f>
        <v>26127.87</v>
      </c>
      <c r="S31" s="48" t="str">
        <f>VLOOKUP($A31,'Página31'!$A$1:$V$27,COLUMN(),TRUE)</f>
        <v/>
      </c>
      <c r="T31" s="73">
        <f t="shared" si="5"/>
        <v>2018</v>
      </c>
      <c r="U31" s="73">
        <f t="shared" si="6"/>
        <v>6</v>
      </c>
    </row>
    <row r="32">
      <c r="A32" s="34">
        <v>43282.0</v>
      </c>
      <c r="B32" s="48">
        <f t="shared" si="1"/>
        <v>15733.55</v>
      </c>
      <c r="C32" s="48">
        <f>ROUND(IF(MONTH($A32)=12,2.333,1)*VLOOKUP($A32,'Página31'!$A$1:$V$27,COLUMN(),TRUE),2)</f>
        <v>27100.64</v>
      </c>
      <c r="D32" s="48">
        <f t="shared" si="2"/>
        <v>26127.94</v>
      </c>
      <c r="E32" s="48">
        <f>ROUND(IF(MONTH($A32)=12,2.333,1)*VLOOKUP($A32,'Página31'!$A$1:$V$27,COLUMN(),TRUE),2)</f>
        <v>27100.64</v>
      </c>
      <c r="F32" s="48">
        <f>ROUND(IF(MONTH($A32)=12,2.333,1)*VLOOKUP($A32,'Página31'!$A$1:$V$27,COLUMN(),TRUE),2)</f>
        <v>0</v>
      </c>
      <c r="G32" s="48">
        <f t="shared" si="3"/>
        <v>6451.99</v>
      </c>
      <c r="H32" s="48">
        <f>ROUND(IF(MONTH($A32)=12,2.333,1)*VLOOKUP($A32,'Página31'!$A$1:$V$27,COLUMN(),TRUE),2)</f>
        <v>22289.17</v>
      </c>
      <c r="I32" s="48">
        <f t="shared" si="4"/>
        <v>26127.87</v>
      </c>
      <c r="J32" s="48">
        <f>ROUND(IF(MONTH($A32)=12,2.333,1)*VLOOKUP($A32,'Página31'!$A$1:$V$27,COLUMN(),TRUE),2)</f>
        <v>19685.87</v>
      </c>
      <c r="K32" s="48">
        <f>ROUND(IF(MONTH($A32)=12,2.333,1)*VLOOKUP($A32,'Página31'!$A$1:$V$27,COLUMN(),TRUE),2)</f>
        <v>18356.05</v>
      </c>
      <c r="L32" s="48" t="str">
        <f>VLOOKUP($A32,'Página31'!$A$1:$V$27,COLUMN(),TRUE)</f>
        <v/>
      </c>
      <c r="M32" s="48">
        <f>VLOOKUP($A32,'Página31'!$A$1:$V$27,COLUMN(),TRUE)</f>
        <v>17481.71275</v>
      </c>
      <c r="N32" s="48">
        <f>VLOOKUP($A32,'Página31'!$A$1:$V$27,COLUMN(),TRUE)</f>
        <v>26127.94</v>
      </c>
      <c r="O32" s="48" t="str">
        <f>VLOOKUP($A32,'Página31'!$A$1:$V$27,COLUMN(),TRUE)</f>
        <v/>
      </c>
      <c r="P32" s="48">
        <f>VLOOKUP($A32,'Página31'!$A$1:$V$27,COLUMN(),TRUE)</f>
        <v>6451.99</v>
      </c>
      <c r="Q32" s="48" t="str">
        <f>VLOOKUP($A32,'Página31'!$A$1:$V$27,COLUMN(),TRUE)</f>
        <v/>
      </c>
      <c r="R32" s="48">
        <f>VLOOKUP($A32,'Página31'!$A$1:$V$27,COLUMN(),TRUE)</f>
        <v>26127.87</v>
      </c>
      <c r="S32" s="48" t="str">
        <f>VLOOKUP($A32,'Página31'!$A$1:$V$27,COLUMN(),TRUE)</f>
        <v/>
      </c>
      <c r="T32" s="73">
        <f t="shared" si="5"/>
        <v>2018</v>
      </c>
      <c r="U32" s="73">
        <f t="shared" si="6"/>
        <v>7</v>
      </c>
    </row>
    <row r="33">
      <c r="A33" s="34">
        <v>43313.0</v>
      </c>
      <c r="B33" s="48">
        <f t="shared" si="1"/>
        <v>15733.55</v>
      </c>
      <c r="C33" s="48">
        <f>ROUND(IF(MONTH($A33)=12,2.333,1)*VLOOKUP($A33,'Página31'!$A$1:$V$27,COLUMN(),TRUE),2)</f>
        <v>27100.64</v>
      </c>
      <c r="D33" s="48">
        <f t="shared" si="2"/>
        <v>26127.94</v>
      </c>
      <c r="E33" s="48">
        <f>ROUND(IF(MONTH($A33)=12,2.333,1)*VLOOKUP($A33,'Página31'!$A$1:$V$27,COLUMN(),TRUE),2)</f>
        <v>27100.64</v>
      </c>
      <c r="F33" s="48">
        <f>ROUND(IF(MONTH($A33)=12,2.333,1)*VLOOKUP($A33,'Página31'!$A$1:$V$27,COLUMN(),TRUE),2)</f>
        <v>0</v>
      </c>
      <c r="G33" s="48">
        <f t="shared" si="3"/>
        <v>6451.99</v>
      </c>
      <c r="H33" s="48">
        <f>ROUND(IF(MONTH($A33)=12,2.333,1)*VLOOKUP($A33,'Página31'!$A$1:$V$27,COLUMN(),TRUE),2)</f>
        <v>22289.17</v>
      </c>
      <c r="I33" s="48">
        <f t="shared" si="4"/>
        <v>26127.87</v>
      </c>
      <c r="J33" s="48">
        <f>ROUND(IF(MONTH($A33)=12,2.333,1)*VLOOKUP($A33,'Página31'!$A$1:$V$27,COLUMN(),TRUE),2)</f>
        <v>19685.87</v>
      </c>
      <c r="K33" s="48">
        <f>ROUND(IF(MONTH($A33)=12,2.333,1)*VLOOKUP($A33,'Página31'!$A$1:$V$27,COLUMN(),TRUE),2)</f>
        <v>18356.05</v>
      </c>
      <c r="L33" s="48" t="str">
        <f>VLOOKUP($A33,'Página31'!$A$1:$V$27,COLUMN(),TRUE)</f>
        <v/>
      </c>
      <c r="M33" s="48">
        <f>VLOOKUP($A33,'Página31'!$A$1:$V$27,COLUMN(),TRUE)</f>
        <v>17481.71275</v>
      </c>
      <c r="N33" s="48">
        <f>VLOOKUP($A33,'Página31'!$A$1:$V$27,COLUMN(),TRUE)</f>
        <v>26127.94</v>
      </c>
      <c r="O33" s="48" t="str">
        <f>VLOOKUP($A33,'Página31'!$A$1:$V$27,COLUMN(),TRUE)</f>
        <v/>
      </c>
      <c r="P33" s="48">
        <f>VLOOKUP($A33,'Página31'!$A$1:$V$27,COLUMN(),TRUE)</f>
        <v>6451.99</v>
      </c>
      <c r="Q33" s="48" t="str">
        <f>VLOOKUP($A33,'Página31'!$A$1:$V$27,COLUMN(),TRUE)</f>
        <v/>
      </c>
      <c r="R33" s="48">
        <f>VLOOKUP($A33,'Página31'!$A$1:$V$27,COLUMN(),TRUE)</f>
        <v>26127.87</v>
      </c>
      <c r="S33" s="48" t="str">
        <f>VLOOKUP($A33,'Página31'!$A$1:$V$27,COLUMN(),TRUE)</f>
        <v/>
      </c>
      <c r="T33" s="73">
        <f t="shared" si="5"/>
        <v>2018</v>
      </c>
      <c r="U33" s="73">
        <f t="shared" si="6"/>
        <v>8</v>
      </c>
    </row>
    <row r="34">
      <c r="A34" s="34">
        <v>43344.0</v>
      </c>
      <c r="B34" s="48">
        <f t="shared" si="1"/>
        <v>15733.55</v>
      </c>
      <c r="C34" s="48">
        <f>ROUND(IF(MONTH($A34)=12,2.333,1)*VLOOKUP($A34,'Página31'!$A$1:$V$27,COLUMN(),TRUE),2)</f>
        <v>27100.64</v>
      </c>
      <c r="D34" s="48">
        <f t="shared" si="2"/>
        <v>26127.94</v>
      </c>
      <c r="E34" s="48">
        <f>ROUND(IF(MONTH($A34)=12,2.333,1)*VLOOKUP($A34,'Página31'!$A$1:$V$27,COLUMN(),TRUE),2)</f>
        <v>27100.64</v>
      </c>
      <c r="F34" s="48">
        <f>ROUND(IF(MONTH($A34)=12,2.333,1)*VLOOKUP($A34,'Página31'!$A$1:$V$27,COLUMN(),TRUE),2)</f>
        <v>0</v>
      </c>
      <c r="G34" s="48">
        <f t="shared" si="3"/>
        <v>6451.99</v>
      </c>
      <c r="H34" s="48">
        <f>ROUND(IF(MONTH($A34)=12,2.333,1)*VLOOKUP($A34,'Página31'!$A$1:$V$27,COLUMN(),TRUE),2)</f>
        <v>22289.17</v>
      </c>
      <c r="I34" s="48">
        <f t="shared" si="4"/>
        <v>26127.87</v>
      </c>
      <c r="J34" s="48">
        <f>ROUND(IF(MONTH($A34)=12,2.333,1)*VLOOKUP($A34,'Página31'!$A$1:$V$27,COLUMN(),TRUE),2)</f>
        <v>19685.87</v>
      </c>
      <c r="K34" s="48">
        <f>ROUND(IF(MONTH($A34)=12,2.333,1)*VLOOKUP($A34,'Página31'!$A$1:$V$27,COLUMN(),TRUE),2)</f>
        <v>18356.05</v>
      </c>
      <c r="L34" s="48" t="str">
        <f>VLOOKUP($A34,'Página31'!$A$1:$V$27,COLUMN(),TRUE)</f>
        <v/>
      </c>
      <c r="M34" s="48">
        <f>VLOOKUP($A34,'Página31'!$A$1:$V$27,COLUMN(),TRUE)</f>
        <v>17481.71275</v>
      </c>
      <c r="N34" s="48">
        <f>VLOOKUP($A34,'Página31'!$A$1:$V$27,COLUMN(),TRUE)</f>
        <v>26127.94</v>
      </c>
      <c r="O34" s="48" t="str">
        <f>VLOOKUP($A34,'Página31'!$A$1:$V$27,COLUMN(),TRUE)</f>
        <v/>
      </c>
      <c r="P34" s="48">
        <f>VLOOKUP($A34,'Página31'!$A$1:$V$27,COLUMN(),TRUE)</f>
        <v>6451.99</v>
      </c>
      <c r="Q34" s="48" t="str">
        <f>VLOOKUP($A34,'Página31'!$A$1:$V$27,COLUMN(),TRUE)</f>
        <v/>
      </c>
      <c r="R34" s="48">
        <f>VLOOKUP($A34,'Página31'!$A$1:$V$27,COLUMN(),TRUE)</f>
        <v>26127.87</v>
      </c>
      <c r="S34" s="48" t="str">
        <f>VLOOKUP($A34,'Página31'!$A$1:$V$27,COLUMN(),TRUE)</f>
        <v/>
      </c>
      <c r="T34" s="73">
        <f t="shared" si="5"/>
        <v>2018</v>
      </c>
      <c r="U34" s="73">
        <f t="shared" si="6"/>
        <v>9</v>
      </c>
    </row>
    <row r="35">
      <c r="A35" s="34">
        <v>43374.0</v>
      </c>
      <c r="B35" s="48">
        <f t="shared" si="1"/>
        <v>15733.55</v>
      </c>
      <c r="C35" s="48">
        <f>ROUND(IF(MONTH($A35)=12,2.333,1)*VLOOKUP($A35,'Página31'!$A$1:$V$27,COLUMN(),TRUE),2)</f>
        <v>27100.64</v>
      </c>
      <c r="D35" s="48">
        <f t="shared" si="2"/>
        <v>26127.94</v>
      </c>
      <c r="E35" s="48">
        <f>ROUND(IF(MONTH($A35)=12,2.333,1)*VLOOKUP($A35,'Página31'!$A$1:$V$27,COLUMN(),TRUE),2)</f>
        <v>27100.64</v>
      </c>
      <c r="F35" s="48">
        <f>ROUND(IF(MONTH($A35)=12,2.333,1)*VLOOKUP($A35,'Página31'!$A$1:$V$27,COLUMN(),TRUE),2)</f>
        <v>0</v>
      </c>
      <c r="G35" s="48">
        <f t="shared" si="3"/>
        <v>6451.99</v>
      </c>
      <c r="H35" s="48">
        <f>ROUND(IF(MONTH($A35)=12,2.333,1)*VLOOKUP($A35,'Página31'!$A$1:$V$27,COLUMN(),TRUE),2)</f>
        <v>22289.17</v>
      </c>
      <c r="I35" s="48">
        <f t="shared" si="4"/>
        <v>26127.87</v>
      </c>
      <c r="J35" s="48">
        <f>ROUND(IF(MONTH($A35)=12,2.333,1)*VLOOKUP($A35,'Página31'!$A$1:$V$27,COLUMN(),TRUE),2)</f>
        <v>19685.87</v>
      </c>
      <c r="K35" s="48">
        <f>ROUND(IF(MONTH($A35)=12,2.333,1)*VLOOKUP($A35,'Página31'!$A$1:$V$27,COLUMN(),TRUE),2)</f>
        <v>18356.05</v>
      </c>
      <c r="L35" s="48" t="str">
        <f>VLOOKUP($A35,'Página31'!$A$1:$V$27,COLUMN(),TRUE)</f>
        <v/>
      </c>
      <c r="M35" s="48">
        <f>VLOOKUP($A35,'Página31'!$A$1:$V$27,COLUMN(),TRUE)</f>
        <v>17481.71275</v>
      </c>
      <c r="N35" s="48">
        <f>VLOOKUP($A35,'Página31'!$A$1:$V$27,COLUMN(),TRUE)</f>
        <v>26127.94</v>
      </c>
      <c r="O35" s="48" t="str">
        <f>VLOOKUP($A35,'Página31'!$A$1:$V$27,COLUMN(),TRUE)</f>
        <v/>
      </c>
      <c r="P35" s="48">
        <f>VLOOKUP($A35,'Página31'!$A$1:$V$27,COLUMN(),TRUE)</f>
        <v>6451.99</v>
      </c>
      <c r="Q35" s="48" t="str">
        <f>VLOOKUP($A35,'Página31'!$A$1:$V$27,COLUMN(),TRUE)</f>
        <v/>
      </c>
      <c r="R35" s="48">
        <f>VLOOKUP($A35,'Página31'!$A$1:$V$27,COLUMN(),TRUE)</f>
        <v>26127.87</v>
      </c>
      <c r="S35" s="48" t="str">
        <f>VLOOKUP($A35,'Página31'!$A$1:$V$27,COLUMN(),TRUE)</f>
        <v/>
      </c>
      <c r="T35" s="73">
        <f t="shared" si="5"/>
        <v>2018</v>
      </c>
      <c r="U35" s="73">
        <f t="shared" si="6"/>
        <v>10</v>
      </c>
    </row>
    <row r="36">
      <c r="A36" s="34">
        <v>43405.0</v>
      </c>
      <c r="B36" s="48">
        <f t="shared" si="1"/>
        <v>15733.55</v>
      </c>
      <c r="C36" s="48">
        <f>ROUND(IF(MONTH($A36)=12,2.333,1)*VLOOKUP($A36,'Página31'!$A$1:$V$27,COLUMN(),TRUE),2)</f>
        <v>27100.64</v>
      </c>
      <c r="D36" s="48">
        <f t="shared" si="2"/>
        <v>26127.94</v>
      </c>
      <c r="E36" s="48">
        <f>ROUND(IF(MONTH($A36)=12,2.333,1)*VLOOKUP($A36,'Página31'!$A$1:$V$27,COLUMN(),TRUE),2)</f>
        <v>27100.64</v>
      </c>
      <c r="F36" s="48">
        <f>ROUND(IF(MONTH($A36)=12,2.333,1)*VLOOKUP($A36,'Página31'!$A$1:$V$27,COLUMN(),TRUE),2)</f>
        <v>0</v>
      </c>
      <c r="G36" s="48">
        <f t="shared" si="3"/>
        <v>6451.99</v>
      </c>
      <c r="H36" s="48">
        <f>ROUND(IF(MONTH($A36)=12,2.333,1)*VLOOKUP($A36,'Página31'!$A$1:$V$27,COLUMN(),TRUE),2)</f>
        <v>22289.17</v>
      </c>
      <c r="I36" s="48">
        <f t="shared" si="4"/>
        <v>26127.87</v>
      </c>
      <c r="J36" s="48">
        <f>ROUND(IF(MONTH($A36)=12,2.333,1)*VLOOKUP($A36,'Página31'!$A$1:$V$27,COLUMN(),TRUE),2)</f>
        <v>19685.87</v>
      </c>
      <c r="K36" s="48">
        <f>ROUND(IF(MONTH($A36)=12,2.333,1)*VLOOKUP($A36,'Página31'!$A$1:$V$27,COLUMN(),TRUE),2)</f>
        <v>18356.05</v>
      </c>
      <c r="L36" s="48" t="str">
        <f>VLOOKUP($A36,'Página31'!$A$1:$V$27,COLUMN(),TRUE)</f>
        <v/>
      </c>
      <c r="M36" s="48">
        <f>VLOOKUP($A36,'Página31'!$A$1:$V$27,COLUMN(),TRUE)</f>
        <v>17481.71275</v>
      </c>
      <c r="N36" s="48">
        <f>VLOOKUP($A36,'Página31'!$A$1:$V$27,COLUMN(),TRUE)</f>
        <v>26127.94</v>
      </c>
      <c r="O36" s="48" t="str">
        <f>VLOOKUP($A36,'Página31'!$A$1:$V$27,COLUMN(),TRUE)</f>
        <v/>
      </c>
      <c r="P36" s="48">
        <f>VLOOKUP($A36,'Página31'!$A$1:$V$27,COLUMN(),TRUE)</f>
        <v>6451.99</v>
      </c>
      <c r="Q36" s="48" t="str">
        <f>VLOOKUP($A36,'Página31'!$A$1:$V$27,COLUMN(),TRUE)</f>
        <v/>
      </c>
      <c r="R36" s="48">
        <f>VLOOKUP($A36,'Página31'!$A$1:$V$27,COLUMN(),TRUE)</f>
        <v>26127.87</v>
      </c>
      <c r="S36" s="48" t="str">
        <f>VLOOKUP($A36,'Página31'!$A$1:$V$27,COLUMN(),TRUE)</f>
        <v/>
      </c>
      <c r="T36" s="73">
        <f t="shared" si="5"/>
        <v>2018</v>
      </c>
      <c r="U36" s="73">
        <f t="shared" si="6"/>
        <v>11</v>
      </c>
    </row>
    <row r="37">
      <c r="A37" s="34">
        <v>43435.0</v>
      </c>
      <c r="B37" s="48">
        <f t="shared" si="1"/>
        <v>36706.37</v>
      </c>
      <c r="C37" s="48">
        <f>ROUND(IF(MONTH($A37)=12,2.333,1)*VLOOKUP($A37,'Página31'!$A$1:$V$27,COLUMN(),TRUE),2)</f>
        <v>63225.8</v>
      </c>
      <c r="D37" s="48">
        <f t="shared" si="2"/>
        <v>60956.48</v>
      </c>
      <c r="E37" s="48">
        <f>ROUND(IF(MONTH($A37)=12,2.333,1)*VLOOKUP($A37,'Página31'!$A$1:$V$27,COLUMN(),TRUE),2)</f>
        <v>63225.8</v>
      </c>
      <c r="F37" s="48">
        <f>ROUND(IF(MONTH($A37)=12,2.333,1)*VLOOKUP($A37,'Página31'!$A$1:$V$27,COLUMN(),TRUE),2)</f>
        <v>0</v>
      </c>
      <c r="G37" s="48">
        <f t="shared" si="3"/>
        <v>16408.67</v>
      </c>
      <c r="H37" s="48">
        <f>ROUND(IF(MONTH($A37)=12,2.333,1)*VLOOKUP($A37,'Página31'!$A$1:$V$27,COLUMN(),TRUE),2)</f>
        <v>52959.28</v>
      </c>
      <c r="I37" s="48">
        <f t="shared" si="4"/>
        <v>60956.32</v>
      </c>
      <c r="J37" s="48">
        <f>ROUND(IF(MONTH($A37)=12,2.333,1)*VLOOKUP($A37,'Página31'!$A$1:$V$27,COLUMN(),TRUE),2)</f>
        <v>45927.12</v>
      </c>
      <c r="K37" s="48">
        <f>ROUND(IF(MONTH($A37)=12,2.333,1)*VLOOKUP($A37,'Página31'!$A$1:$V$27,COLUMN(),TRUE),2)</f>
        <v>42824.66</v>
      </c>
      <c r="L37" s="48" t="str">
        <f>VLOOKUP($A37,'Página31'!$A$1:$V$27,COLUMN(),TRUE)</f>
        <v/>
      </c>
      <c r="M37" s="48">
        <f>VLOOKUP($A37,'Página31'!$A$1:$V$27,COLUMN(),TRUE)</f>
        <v>17481.71275</v>
      </c>
      <c r="N37" s="48">
        <f>VLOOKUP($A37,'Página31'!$A$1:$V$27,COLUMN(),TRUE)</f>
        <v>26127.94</v>
      </c>
      <c r="O37" s="48" t="str">
        <f>VLOOKUP($A37,'Página31'!$A$1:$V$27,COLUMN(),TRUE)</f>
        <v/>
      </c>
      <c r="P37" s="48">
        <f>VLOOKUP($A37,'Página31'!$A$1:$V$27,COLUMN(),TRUE)</f>
        <v>7033.29</v>
      </c>
      <c r="Q37" s="48" t="str">
        <f>VLOOKUP($A37,'Página31'!$A$1:$V$27,COLUMN(),TRUE)</f>
        <v/>
      </c>
      <c r="R37" s="48">
        <f>VLOOKUP($A37,'Página31'!$A$1:$V$27,COLUMN(),TRUE)</f>
        <v>26127.87</v>
      </c>
      <c r="S37" s="48" t="str">
        <f>VLOOKUP($A37,'Página31'!$A$1:$V$27,COLUMN(),TRUE)</f>
        <v/>
      </c>
      <c r="T37" s="73">
        <f t="shared" si="5"/>
        <v>2018</v>
      </c>
      <c r="U37" s="73">
        <f t="shared" si="6"/>
        <v>12</v>
      </c>
    </row>
    <row r="38">
      <c r="A38" s="34">
        <v>43466.0</v>
      </c>
      <c r="B38" s="48">
        <f t="shared" si="1"/>
        <v>16676.68</v>
      </c>
      <c r="C38" s="48">
        <f>ROUND(IF(MONTH($A38)=12,2.333,1)*VLOOKUP($A38,'Página31'!$A$1:$V$27,COLUMN(),TRUE),2)</f>
        <v>28810.18</v>
      </c>
      <c r="D38" s="48">
        <f t="shared" si="2"/>
        <v>27303.7</v>
      </c>
      <c r="E38" s="48">
        <f>ROUND(IF(MONTH($A38)=12,2.333,1)*VLOOKUP($A38,'Página31'!$A$1:$V$27,COLUMN(),TRUE),2)</f>
        <v>28810.18</v>
      </c>
      <c r="F38" s="48">
        <f>ROUND(IF(MONTH($A38)=12,2.333,1)*VLOOKUP($A38,'Página31'!$A$1:$V$27,COLUMN(),TRUE),2)</f>
        <v>0</v>
      </c>
      <c r="G38" s="48">
        <f t="shared" si="3"/>
        <v>7216.35</v>
      </c>
      <c r="H38" s="48">
        <f>ROUND(IF(MONTH($A38)=12,2.333,1)*VLOOKUP($A38,'Página31'!$A$1:$V$27,COLUMN(),TRUE),2)</f>
        <v>23588.13</v>
      </c>
      <c r="I38" s="48">
        <f t="shared" si="4"/>
        <v>27303.62</v>
      </c>
      <c r="J38" s="48">
        <f>ROUND(IF(MONTH($A38)=12,2.333,1)*VLOOKUP($A38,'Página31'!$A$1:$V$27,COLUMN(),TRUE),2)</f>
        <v>20444.52</v>
      </c>
      <c r="K38" s="48">
        <f>ROUND(IF(MONTH($A38)=12,2.333,1)*VLOOKUP($A38,'Página31'!$A$1:$V$27,COLUMN(),TRUE),2)</f>
        <v>19459.13</v>
      </c>
      <c r="L38" s="48" t="str">
        <f>VLOOKUP($A38,'Página31'!$A$1:$V$27,COLUMN(),TRUE)</f>
        <v/>
      </c>
      <c r="M38" s="48">
        <f>VLOOKUP($A38,'Página31'!$A$1:$V$27,COLUMN(),TRUE)</f>
        <v>18529.64225</v>
      </c>
      <c r="N38" s="48">
        <f>VLOOKUP($A38,'Página31'!$A$1:$V$27,COLUMN(),TRUE)</f>
        <v>27303.7</v>
      </c>
      <c r="O38" s="48" t="str">
        <f>VLOOKUP($A38,'Página31'!$A$1:$V$27,COLUMN(),TRUE)</f>
        <v/>
      </c>
      <c r="P38" s="48">
        <f>VLOOKUP($A38,'Página31'!$A$1:$V$27,COLUMN(),TRUE)</f>
        <v>7216.35</v>
      </c>
      <c r="Q38" s="48" t="str">
        <f>VLOOKUP($A38,'Página31'!$A$1:$V$27,COLUMN(),TRUE)</f>
        <v/>
      </c>
      <c r="R38" s="48">
        <f>VLOOKUP($A38,'Página31'!$A$1:$V$27,COLUMN(),TRUE)</f>
        <v>27303.62</v>
      </c>
      <c r="S38" s="48" t="str">
        <f>VLOOKUP($A38,'Página31'!$A$1:$V$27,COLUMN(),TRUE)</f>
        <v/>
      </c>
      <c r="T38" s="73">
        <f t="shared" si="5"/>
        <v>2019</v>
      </c>
      <c r="U38" s="73">
        <f t="shared" si="6"/>
        <v>1</v>
      </c>
    </row>
    <row r="39">
      <c r="A39" s="34">
        <v>43497.0</v>
      </c>
      <c r="B39" s="48">
        <f t="shared" si="1"/>
        <v>16676.68</v>
      </c>
      <c r="C39" s="48">
        <f>ROUND(IF(MONTH($A39)=12,2.333,1)*VLOOKUP($A39,'Página31'!$A$1:$V$27,COLUMN(),TRUE),2)</f>
        <v>28810.18</v>
      </c>
      <c r="D39" s="48">
        <f t="shared" si="2"/>
        <v>27303.7</v>
      </c>
      <c r="E39" s="48">
        <f>ROUND(IF(MONTH($A39)=12,2.333,1)*VLOOKUP($A39,'Página31'!$A$1:$V$27,COLUMN(),TRUE),2)</f>
        <v>28810.18</v>
      </c>
      <c r="F39" s="48">
        <f>ROUND(IF(MONTH($A39)=12,2.333,1)*VLOOKUP($A39,'Página31'!$A$1:$V$27,COLUMN(),TRUE),2)</f>
        <v>0</v>
      </c>
      <c r="G39" s="48">
        <f t="shared" si="3"/>
        <v>7216.35</v>
      </c>
      <c r="H39" s="48">
        <f>ROUND(IF(MONTH($A39)=12,2.333,1)*VLOOKUP($A39,'Página31'!$A$1:$V$27,COLUMN(),TRUE),2)</f>
        <v>23588.13</v>
      </c>
      <c r="I39" s="48">
        <f t="shared" si="4"/>
        <v>27303.62</v>
      </c>
      <c r="J39" s="48">
        <f>ROUND(IF(MONTH($A39)=12,2.333,1)*VLOOKUP($A39,'Página31'!$A$1:$V$27,COLUMN(),TRUE),2)</f>
        <v>20444.52</v>
      </c>
      <c r="K39" s="48">
        <f>ROUND(IF(MONTH($A39)=12,2.333,1)*VLOOKUP($A39,'Página31'!$A$1:$V$27,COLUMN(),TRUE),2)</f>
        <v>19459.13</v>
      </c>
      <c r="L39" s="48" t="str">
        <f>VLOOKUP($A39,'Página31'!$A$1:$V$27,COLUMN(),TRUE)</f>
        <v/>
      </c>
      <c r="M39" s="48">
        <f>VLOOKUP($A39,'Página31'!$A$1:$V$27,COLUMN(),TRUE)</f>
        <v>18529.64225</v>
      </c>
      <c r="N39" s="48">
        <f>VLOOKUP($A39,'Página31'!$A$1:$V$27,COLUMN(),TRUE)</f>
        <v>27303.7</v>
      </c>
      <c r="O39" s="48" t="str">
        <f>VLOOKUP($A39,'Página31'!$A$1:$V$27,COLUMN(),TRUE)</f>
        <v/>
      </c>
      <c r="P39" s="48">
        <f>VLOOKUP($A39,'Página31'!$A$1:$V$27,COLUMN(),TRUE)</f>
        <v>7216.35</v>
      </c>
      <c r="Q39" s="48" t="str">
        <f>VLOOKUP($A39,'Página31'!$A$1:$V$27,COLUMN(),TRUE)</f>
        <v/>
      </c>
      <c r="R39" s="48">
        <f>VLOOKUP($A39,'Página31'!$A$1:$V$27,COLUMN(),TRUE)</f>
        <v>27303.62</v>
      </c>
      <c r="S39" s="48" t="str">
        <f>VLOOKUP($A39,'Página31'!$A$1:$V$27,COLUMN(),TRUE)</f>
        <v/>
      </c>
      <c r="T39" s="73">
        <f t="shared" si="5"/>
        <v>2019</v>
      </c>
      <c r="U39" s="73">
        <f t="shared" si="6"/>
        <v>2</v>
      </c>
    </row>
    <row r="40">
      <c r="A40" s="34">
        <v>43525.0</v>
      </c>
      <c r="B40" s="48">
        <f t="shared" si="1"/>
        <v>16676.68</v>
      </c>
      <c r="C40" s="48">
        <f>ROUND(IF(MONTH($A40)=12,2.333,1)*VLOOKUP($A40,'Página31'!$A$1:$V$27,COLUMN(),TRUE),2)</f>
        <v>28810.18</v>
      </c>
      <c r="D40" s="48">
        <f t="shared" si="2"/>
        <v>27303.7</v>
      </c>
      <c r="E40" s="48">
        <f>ROUND(IF(MONTH($A40)=12,2.333,1)*VLOOKUP($A40,'Página31'!$A$1:$V$27,COLUMN(),TRUE),2)</f>
        <v>28810.18</v>
      </c>
      <c r="F40" s="48">
        <f>ROUND(IF(MONTH($A40)=12,2.333,1)*VLOOKUP($A40,'Página31'!$A$1:$V$27,COLUMN(),TRUE),2)</f>
        <v>0</v>
      </c>
      <c r="G40" s="48">
        <f t="shared" si="3"/>
        <v>7216.35</v>
      </c>
      <c r="H40" s="48">
        <f>ROUND(IF(MONTH($A40)=12,2.333,1)*VLOOKUP($A40,'Página31'!$A$1:$V$27,COLUMN(),TRUE),2)</f>
        <v>23588.13</v>
      </c>
      <c r="I40" s="48">
        <f t="shared" si="4"/>
        <v>27303.62</v>
      </c>
      <c r="J40" s="48">
        <f>ROUND(IF(MONTH($A40)=12,2.333,1)*VLOOKUP($A40,'Página31'!$A$1:$V$27,COLUMN(),TRUE),2)</f>
        <v>20444.52</v>
      </c>
      <c r="K40" s="48">
        <f>ROUND(IF(MONTH($A40)=12,2.333,1)*VLOOKUP($A40,'Página31'!$A$1:$V$27,COLUMN(),TRUE),2)</f>
        <v>19459.13</v>
      </c>
      <c r="L40" s="48" t="str">
        <f>VLOOKUP($A40,'Página31'!$A$1:$V$27,COLUMN(),TRUE)</f>
        <v/>
      </c>
      <c r="M40" s="48">
        <f>VLOOKUP($A40,'Página31'!$A$1:$V$27,COLUMN(),TRUE)</f>
        <v>18529.64225</v>
      </c>
      <c r="N40" s="48">
        <f>VLOOKUP($A40,'Página31'!$A$1:$V$27,COLUMN(),TRUE)</f>
        <v>27303.7</v>
      </c>
      <c r="O40" s="48" t="str">
        <f>VLOOKUP($A40,'Página31'!$A$1:$V$27,COLUMN(),TRUE)</f>
        <v/>
      </c>
      <c r="P40" s="48">
        <f>VLOOKUP($A40,'Página31'!$A$1:$V$27,COLUMN(),TRUE)</f>
        <v>7216.35</v>
      </c>
      <c r="Q40" s="48" t="str">
        <f>VLOOKUP($A40,'Página31'!$A$1:$V$27,COLUMN(),TRUE)</f>
        <v/>
      </c>
      <c r="R40" s="48">
        <f>VLOOKUP($A40,'Página31'!$A$1:$V$27,COLUMN(),TRUE)</f>
        <v>27303.62</v>
      </c>
      <c r="S40" s="48" t="str">
        <f>VLOOKUP($A40,'Página31'!$A$1:$V$27,COLUMN(),TRUE)</f>
        <v/>
      </c>
      <c r="T40" s="73">
        <f t="shared" si="5"/>
        <v>2019</v>
      </c>
      <c r="U40" s="73">
        <f t="shared" si="6"/>
        <v>3</v>
      </c>
    </row>
    <row r="41">
      <c r="A41" s="34">
        <v>43556.0</v>
      </c>
      <c r="B41" s="48">
        <f t="shared" si="1"/>
        <v>16676.68</v>
      </c>
      <c r="C41" s="48">
        <f>ROUND(IF(MONTH($A41)=12,2.333,1)*VLOOKUP($A41,'Página31'!$A$1:$V$27,COLUMN(),TRUE),2)</f>
        <v>28810.18</v>
      </c>
      <c r="D41" s="48">
        <f t="shared" si="2"/>
        <v>27303.7</v>
      </c>
      <c r="E41" s="48">
        <f>ROUND(IF(MONTH($A41)=12,2.333,1)*VLOOKUP($A41,'Página31'!$A$1:$V$27,COLUMN(),TRUE),2)</f>
        <v>28810.18</v>
      </c>
      <c r="F41" s="48">
        <f>ROUND(IF(MONTH($A41)=12,2.333,1)*VLOOKUP($A41,'Página31'!$A$1:$V$27,COLUMN(),TRUE),2)</f>
        <v>0</v>
      </c>
      <c r="G41" s="48">
        <f t="shared" si="3"/>
        <v>7216.35</v>
      </c>
      <c r="H41" s="48">
        <f>ROUND(IF(MONTH($A41)=12,2.333,1)*VLOOKUP($A41,'Página31'!$A$1:$V$27,COLUMN(),TRUE),2)</f>
        <v>23588.13</v>
      </c>
      <c r="I41" s="48">
        <f t="shared" si="4"/>
        <v>27303.62</v>
      </c>
      <c r="J41" s="48">
        <f>ROUND(IF(MONTH($A41)=12,2.333,1)*VLOOKUP($A41,'Página31'!$A$1:$V$27,COLUMN(),TRUE),2)</f>
        <v>20444.52</v>
      </c>
      <c r="K41" s="48">
        <f>ROUND(IF(MONTH($A41)=12,2.333,1)*VLOOKUP($A41,'Página31'!$A$1:$V$27,COLUMN(),TRUE),2)</f>
        <v>19459.13</v>
      </c>
      <c r="L41" s="48" t="str">
        <f>VLOOKUP($A41,'Página31'!$A$1:$V$27,COLUMN(),TRUE)</f>
        <v/>
      </c>
      <c r="M41" s="48">
        <f>VLOOKUP($A41,'Página31'!$A$1:$V$27,COLUMN(),TRUE)</f>
        <v>18529.64225</v>
      </c>
      <c r="N41" s="48">
        <f>VLOOKUP($A41,'Página31'!$A$1:$V$27,COLUMN(),TRUE)</f>
        <v>27303.7</v>
      </c>
      <c r="O41" s="48" t="str">
        <f>VLOOKUP($A41,'Página31'!$A$1:$V$27,COLUMN(),TRUE)</f>
        <v/>
      </c>
      <c r="P41" s="48">
        <f>VLOOKUP($A41,'Página31'!$A$1:$V$27,COLUMN(),TRUE)</f>
        <v>7216.35</v>
      </c>
      <c r="Q41" s="48" t="str">
        <f>VLOOKUP($A41,'Página31'!$A$1:$V$27,COLUMN(),TRUE)</f>
        <v/>
      </c>
      <c r="R41" s="48">
        <f>VLOOKUP($A41,'Página31'!$A$1:$V$27,COLUMN(),TRUE)</f>
        <v>27303.62</v>
      </c>
      <c r="S41" s="48" t="str">
        <f>VLOOKUP($A41,'Página31'!$A$1:$V$27,COLUMN(),TRUE)</f>
        <v/>
      </c>
      <c r="T41" s="73">
        <f t="shared" si="5"/>
        <v>2019</v>
      </c>
      <c r="U41" s="73">
        <f t="shared" si="6"/>
        <v>4</v>
      </c>
    </row>
    <row r="42">
      <c r="A42" s="34">
        <v>43586.0</v>
      </c>
      <c r="B42" s="48">
        <f t="shared" si="1"/>
        <v>16676.68</v>
      </c>
      <c r="C42" s="48">
        <f>ROUND(IF(MONTH($A42)=12,2.333,1)*VLOOKUP($A42,'Página31'!$A$1:$V$27,COLUMN(),TRUE),2)</f>
        <v>28810.18</v>
      </c>
      <c r="D42" s="48">
        <f t="shared" si="2"/>
        <v>27303.7</v>
      </c>
      <c r="E42" s="48">
        <f>ROUND(IF(MONTH($A42)=12,2.333,1)*VLOOKUP($A42,'Página31'!$A$1:$V$27,COLUMN(),TRUE),2)</f>
        <v>28810.18</v>
      </c>
      <c r="F42" s="48">
        <f>ROUND(IF(MONTH($A42)=12,2.333,1)*VLOOKUP($A42,'Página31'!$A$1:$V$27,COLUMN(),TRUE),2)</f>
        <v>0</v>
      </c>
      <c r="G42" s="48">
        <f t="shared" si="3"/>
        <v>7216.35</v>
      </c>
      <c r="H42" s="48">
        <f>ROUND(IF(MONTH($A42)=12,2.333,1)*VLOOKUP($A42,'Página31'!$A$1:$V$27,COLUMN(),TRUE),2)</f>
        <v>23588.13</v>
      </c>
      <c r="I42" s="48">
        <f t="shared" si="4"/>
        <v>27303.62</v>
      </c>
      <c r="J42" s="48">
        <f>ROUND(IF(MONTH($A42)=12,2.333,1)*VLOOKUP($A42,'Página31'!$A$1:$V$27,COLUMN(),TRUE),2)</f>
        <v>20444.52</v>
      </c>
      <c r="K42" s="48">
        <f>ROUND(IF(MONTH($A42)=12,2.333,1)*VLOOKUP($A42,'Página31'!$A$1:$V$27,COLUMN(),TRUE),2)</f>
        <v>19459.13</v>
      </c>
      <c r="L42" s="48" t="str">
        <f>VLOOKUP($A42,'Página31'!$A$1:$V$27,COLUMN(),TRUE)</f>
        <v/>
      </c>
      <c r="M42" s="48">
        <f>VLOOKUP($A42,'Página31'!$A$1:$V$27,COLUMN(),TRUE)</f>
        <v>18529.64225</v>
      </c>
      <c r="N42" s="48">
        <f>VLOOKUP($A42,'Página31'!$A$1:$V$27,COLUMN(),TRUE)</f>
        <v>27303.7</v>
      </c>
      <c r="O42" s="48" t="str">
        <f>VLOOKUP($A42,'Página31'!$A$1:$V$27,COLUMN(),TRUE)</f>
        <v/>
      </c>
      <c r="P42" s="48">
        <f>VLOOKUP($A42,'Página31'!$A$1:$V$27,COLUMN(),TRUE)</f>
        <v>7216.35</v>
      </c>
      <c r="Q42" s="48" t="str">
        <f>VLOOKUP($A42,'Página31'!$A$1:$V$27,COLUMN(),TRUE)</f>
        <v/>
      </c>
      <c r="R42" s="48">
        <f>VLOOKUP($A42,'Página31'!$A$1:$V$27,COLUMN(),TRUE)</f>
        <v>27303.62</v>
      </c>
      <c r="S42" s="48" t="str">
        <f>VLOOKUP($A42,'Página31'!$A$1:$V$27,COLUMN(),TRUE)</f>
        <v/>
      </c>
      <c r="T42" s="73">
        <f t="shared" si="5"/>
        <v>2019</v>
      </c>
      <c r="U42" s="73">
        <f t="shared" si="6"/>
        <v>5</v>
      </c>
    </row>
    <row r="43">
      <c r="A43" s="34">
        <v>43617.0</v>
      </c>
      <c r="B43" s="48">
        <f t="shared" si="1"/>
        <v>16676.68</v>
      </c>
      <c r="C43" s="48">
        <f>ROUND(IF(MONTH($A43)=12,2.333,1)*VLOOKUP($A43,'Página31'!$A$1:$V$27,COLUMN(),TRUE),2)</f>
        <v>28810.18</v>
      </c>
      <c r="D43" s="48">
        <f t="shared" si="2"/>
        <v>27303.7</v>
      </c>
      <c r="E43" s="48">
        <f>ROUND(IF(MONTH($A43)=12,2.333,1)*VLOOKUP($A43,'Página31'!$A$1:$V$27,COLUMN(),TRUE),2)</f>
        <v>28810.18</v>
      </c>
      <c r="F43" s="48">
        <f>ROUND(IF(MONTH($A43)=12,2.333,1)*VLOOKUP($A43,'Página31'!$A$1:$V$27,COLUMN(),TRUE),2)</f>
        <v>0</v>
      </c>
      <c r="G43" s="48">
        <f t="shared" si="3"/>
        <v>7216.35</v>
      </c>
      <c r="H43" s="48">
        <f>ROUND(IF(MONTH($A43)=12,2.333,1)*VLOOKUP($A43,'Página31'!$A$1:$V$27,COLUMN(),TRUE),2)</f>
        <v>23588.13</v>
      </c>
      <c r="I43" s="48">
        <f t="shared" si="4"/>
        <v>27303.62</v>
      </c>
      <c r="J43" s="48">
        <f>ROUND(IF(MONTH($A43)=12,2.333,1)*VLOOKUP($A43,'Página31'!$A$1:$V$27,COLUMN(),TRUE),2)</f>
        <v>20444.52</v>
      </c>
      <c r="K43" s="48">
        <f>ROUND(IF(MONTH($A43)=12,2.333,1)*VLOOKUP($A43,'Página31'!$A$1:$V$27,COLUMN(),TRUE),2)</f>
        <v>19459.13</v>
      </c>
      <c r="L43" s="48" t="str">
        <f>VLOOKUP($A43,'Página31'!$A$1:$V$27,COLUMN(),TRUE)</f>
        <v/>
      </c>
      <c r="M43" s="48">
        <f>VLOOKUP($A43,'Página31'!$A$1:$V$27,COLUMN(),TRUE)</f>
        <v>18529.64225</v>
      </c>
      <c r="N43" s="48">
        <f>VLOOKUP($A43,'Página31'!$A$1:$V$27,COLUMN(),TRUE)</f>
        <v>27303.7</v>
      </c>
      <c r="O43" s="48" t="str">
        <f>VLOOKUP($A43,'Página31'!$A$1:$V$27,COLUMN(),TRUE)</f>
        <v/>
      </c>
      <c r="P43" s="48">
        <f>VLOOKUP($A43,'Página31'!$A$1:$V$27,COLUMN(),TRUE)</f>
        <v>7216.35</v>
      </c>
      <c r="Q43" s="48" t="str">
        <f>VLOOKUP($A43,'Página31'!$A$1:$V$27,COLUMN(),TRUE)</f>
        <v/>
      </c>
      <c r="R43" s="48">
        <f>VLOOKUP($A43,'Página31'!$A$1:$V$27,COLUMN(),TRUE)</f>
        <v>27303.62</v>
      </c>
      <c r="S43" s="48" t="str">
        <f>VLOOKUP($A43,'Página31'!$A$1:$V$27,COLUMN(),TRUE)</f>
        <v/>
      </c>
      <c r="T43" s="73">
        <f t="shared" si="5"/>
        <v>2019</v>
      </c>
      <c r="U43" s="73">
        <f t="shared" si="6"/>
        <v>6</v>
      </c>
    </row>
    <row r="44">
      <c r="A44" s="34">
        <v>43647.0</v>
      </c>
      <c r="B44" s="48">
        <f t="shared" si="1"/>
        <v>16676.68</v>
      </c>
      <c r="C44" s="48">
        <f>ROUND(IF(MONTH($A44)=12,2.333,1)*VLOOKUP($A44,'Página31'!$A$1:$V$27,COLUMN(),TRUE),2)</f>
        <v>28810.18</v>
      </c>
      <c r="D44" s="48">
        <f t="shared" si="2"/>
        <v>27303.7</v>
      </c>
      <c r="E44" s="48">
        <f>ROUND(IF(MONTH($A44)=12,2.333,1)*VLOOKUP($A44,'Página31'!$A$1:$V$27,COLUMN(),TRUE),2)</f>
        <v>28810.18</v>
      </c>
      <c r="F44" s="48">
        <f>ROUND(IF(MONTH($A44)=12,2.333,1)*VLOOKUP($A44,'Página31'!$A$1:$V$27,COLUMN(),TRUE),2)</f>
        <v>0</v>
      </c>
      <c r="G44" s="48">
        <f t="shared" si="3"/>
        <v>7216.35</v>
      </c>
      <c r="H44" s="48">
        <f>ROUND(IF(MONTH($A44)=12,2.333,1)*VLOOKUP($A44,'Página31'!$A$1:$V$27,COLUMN(),TRUE),2)</f>
        <v>23588.13</v>
      </c>
      <c r="I44" s="48">
        <f t="shared" si="4"/>
        <v>27303.62</v>
      </c>
      <c r="J44" s="48">
        <f>ROUND(IF(MONTH($A44)=12,2.333,1)*VLOOKUP($A44,'Página31'!$A$1:$V$27,COLUMN(),TRUE),2)</f>
        <v>20444.52</v>
      </c>
      <c r="K44" s="48">
        <f>ROUND(IF(MONTH($A44)=12,2.333,1)*VLOOKUP($A44,'Página31'!$A$1:$V$27,COLUMN(),TRUE),2)</f>
        <v>19459.13</v>
      </c>
      <c r="L44" s="48" t="str">
        <f>VLOOKUP($A44,'Página31'!$A$1:$V$27,COLUMN(),TRUE)</f>
        <v/>
      </c>
      <c r="M44" s="48">
        <f>VLOOKUP($A44,'Página31'!$A$1:$V$27,COLUMN(),TRUE)</f>
        <v>18529.64225</v>
      </c>
      <c r="N44" s="48">
        <f>VLOOKUP($A44,'Página31'!$A$1:$V$27,COLUMN(),TRUE)</f>
        <v>27303.7</v>
      </c>
      <c r="O44" s="48" t="str">
        <f>VLOOKUP($A44,'Página31'!$A$1:$V$27,COLUMN(),TRUE)</f>
        <v/>
      </c>
      <c r="P44" s="48">
        <f>VLOOKUP($A44,'Página31'!$A$1:$V$27,COLUMN(),TRUE)</f>
        <v>7216.35</v>
      </c>
      <c r="Q44" s="48" t="str">
        <f>VLOOKUP($A44,'Página31'!$A$1:$V$27,COLUMN(),TRUE)</f>
        <v/>
      </c>
      <c r="R44" s="48">
        <f>VLOOKUP($A44,'Página31'!$A$1:$V$27,COLUMN(),TRUE)</f>
        <v>27303.62</v>
      </c>
      <c r="S44" s="48" t="str">
        <f>VLOOKUP($A44,'Página31'!$A$1:$V$27,COLUMN(),TRUE)</f>
        <v/>
      </c>
      <c r="T44" s="73">
        <f t="shared" si="5"/>
        <v>2019</v>
      </c>
      <c r="U44" s="73">
        <f t="shared" si="6"/>
        <v>7</v>
      </c>
    </row>
    <row r="45">
      <c r="A45" s="34">
        <v>43678.0</v>
      </c>
      <c r="B45" s="48">
        <f t="shared" si="1"/>
        <v>16676.68</v>
      </c>
      <c r="C45" s="48">
        <f>ROUND(IF(MONTH($A45)=12,2.333,1)*VLOOKUP($A45,'Página31'!$A$1:$V$27,COLUMN(),TRUE),2)</f>
        <v>28810.18</v>
      </c>
      <c r="D45" s="48">
        <f t="shared" si="2"/>
        <v>27303.7</v>
      </c>
      <c r="E45" s="48">
        <f>ROUND(IF(MONTH($A45)=12,2.333,1)*VLOOKUP($A45,'Página31'!$A$1:$V$27,COLUMN(),TRUE),2)</f>
        <v>28810.18</v>
      </c>
      <c r="F45" s="48">
        <f>ROUND(IF(MONTH($A45)=12,2.333,1)*VLOOKUP($A45,'Página31'!$A$1:$V$27,COLUMN(),TRUE),2)</f>
        <v>0</v>
      </c>
      <c r="G45" s="48">
        <f t="shared" si="3"/>
        <v>7216.35</v>
      </c>
      <c r="H45" s="48">
        <f>ROUND(IF(MONTH($A45)=12,2.333,1)*VLOOKUP($A45,'Página31'!$A$1:$V$27,COLUMN(),TRUE),2)</f>
        <v>23588.13</v>
      </c>
      <c r="I45" s="48">
        <f t="shared" si="4"/>
        <v>27303.62</v>
      </c>
      <c r="J45" s="48">
        <f>ROUND(IF(MONTH($A45)=12,2.333,1)*VLOOKUP($A45,'Página31'!$A$1:$V$27,COLUMN(),TRUE),2)</f>
        <v>20444.52</v>
      </c>
      <c r="K45" s="48">
        <f>ROUND(IF(MONTH($A45)=12,2.333,1)*VLOOKUP($A45,'Página31'!$A$1:$V$27,COLUMN(),TRUE),2)</f>
        <v>19459.13</v>
      </c>
      <c r="L45" s="48" t="str">
        <f>VLOOKUP($A45,'Página31'!$A$1:$V$27,COLUMN(),TRUE)</f>
        <v/>
      </c>
      <c r="M45" s="48">
        <f>VLOOKUP($A45,'Página31'!$A$1:$V$27,COLUMN(),TRUE)</f>
        <v>18529.64225</v>
      </c>
      <c r="N45" s="48">
        <f>VLOOKUP($A45,'Página31'!$A$1:$V$27,COLUMN(),TRUE)</f>
        <v>27303.7</v>
      </c>
      <c r="O45" s="48" t="str">
        <f>VLOOKUP($A45,'Página31'!$A$1:$V$27,COLUMN(),TRUE)</f>
        <v/>
      </c>
      <c r="P45" s="48">
        <f>VLOOKUP($A45,'Página31'!$A$1:$V$27,COLUMN(),TRUE)</f>
        <v>7216.35</v>
      </c>
      <c r="Q45" s="48" t="str">
        <f>VLOOKUP($A45,'Página31'!$A$1:$V$27,COLUMN(),TRUE)</f>
        <v/>
      </c>
      <c r="R45" s="48">
        <f>VLOOKUP($A45,'Página31'!$A$1:$V$27,COLUMN(),TRUE)</f>
        <v>27303.62</v>
      </c>
      <c r="S45" s="48" t="str">
        <f>VLOOKUP($A45,'Página31'!$A$1:$V$27,COLUMN(),TRUE)</f>
        <v/>
      </c>
      <c r="T45" s="73">
        <f t="shared" si="5"/>
        <v>2019</v>
      </c>
      <c r="U45" s="73">
        <f t="shared" si="6"/>
        <v>8</v>
      </c>
    </row>
    <row r="46">
      <c r="A46" s="34">
        <v>43709.0</v>
      </c>
      <c r="B46" s="48">
        <f t="shared" si="1"/>
        <v>16676.68</v>
      </c>
      <c r="C46" s="48">
        <f>ROUND(IF(MONTH($A46)=12,2.333,1)*VLOOKUP($A46,'Página31'!$A$1:$V$27,COLUMN(),TRUE),2)</f>
        <v>28810.18</v>
      </c>
      <c r="D46" s="48">
        <f t="shared" si="2"/>
        <v>27303.7</v>
      </c>
      <c r="E46" s="48">
        <f>ROUND(IF(MONTH($A46)=12,2.333,1)*VLOOKUP($A46,'Página31'!$A$1:$V$27,COLUMN(),TRUE),2)</f>
        <v>28810.18</v>
      </c>
      <c r="F46" s="48">
        <f>ROUND(IF(MONTH($A46)=12,2.333,1)*VLOOKUP($A46,'Página31'!$A$1:$V$27,COLUMN(),TRUE),2)</f>
        <v>0</v>
      </c>
      <c r="G46" s="48">
        <f t="shared" si="3"/>
        <v>7216.35</v>
      </c>
      <c r="H46" s="48">
        <f>ROUND(IF(MONTH($A46)=12,2.333,1)*VLOOKUP($A46,'Página31'!$A$1:$V$27,COLUMN(),TRUE),2)</f>
        <v>23588.13</v>
      </c>
      <c r="I46" s="48">
        <f t="shared" si="4"/>
        <v>27303.62</v>
      </c>
      <c r="J46" s="48">
        <f>ROUND(IF(MONTH($A46)=12,2.333,1)*VLOOKUP($A46,'Página31'!$A$1:$V$27,COLUMN(),TRUE),2)</f>
        <v>20444.52</v>
      </c>
      <c r="K46" s="48">
        <f>ROUND(IF(MONTH($A46)=12,2.333,1)*VLOOKUP($A46,'Página31'!$A$1:$V$27,COLUMN(),TRUE),2)</f>
        <v>19459.13</v>
      </c>
      <c r="L46" s="48" t="str">
        <f>VLOOKUP($A46,'Página31'!$A$1:$V$27,COLUMN(),TRUE)</f>
        <v/>
      </c>
      <c r="M46" s="48">
        <f>VLOOKUP($A46,'Página31'!$A$1:$V$27,COLUMN(),TRUE)</f>
        <v>18529.64225</v>
      </c>
      <c r="N46" s="48">
        <f>VLOOKUP($A46,'Página31'!$A$1:$V$27,COLUMN(),TRUE)</f>
        <v>27303.7</v>
      </c>
      <c r="O46" s="48" t="str">
        <f>VLOOKUP($A46,'Página31'!$A$1:$V$27,COLUMN(),TRUE)</f>
        <v/>
      </c>
      <c r="P46" s="48">
        <f>VLOOKUP($A46,'Página31'!$A$1:$V$27,COLUMN(),TRUE)</f>
        <v>7216.35</v>
      </c>
      <c r="Q46" s="48" t="str">
        <f>VLOOKUP($A46,'Página31'!$A$1:$V$27,COLUMN(),TRUE)</f>
        <v/>
      </c>
      <c r="R46" s="48">
        <f>VLOOKUP($A46,'Página31'!$A$1:$V$27,COLUMN(),TRUE)</f>
        <v>27303.62</v>
      </c>
      <c r="S46" s="48" t="str">
        <f>VLOOKUP($A46,'Página31'!$A$1:$V$27,COLUMN(),TRUE)</f>
        <v/>
      </c>
      <c r="T46" s="73">
        <f t="shared" si="5"/>
        <v>2019</v>
      </c>
      <c r="U46" s="73">
        <f t="shared" si="6"/>
        <v>9</v>
      </c>
    </row>
    <row r="47">
      <c r="A47" s="34">
        <v>43739.0</v>
      </c>
      <c r="B47" s="48">
        <f t="shared" si="1"/>
        <v>16676.68</v>
      </c>
      <c r="C47" s="48">
        <f>ROUND(IF(MONTH($A47)=12,2.333,1)*VLOOKUP($A47,'Página31'!$A$1:$V$27,COLUMN(),TRUE),2)</f>
        <v>28810.18</v>
      </c>
      <c r="D47" s="48">
        <f t="shared" si="2"/>
        <v>27303.7</v>
      </c>
      <c r="E47" s="48">
        <f>ROUND(IF(MONTH($A47)=12,2.333,1)*VLOOKUP($A47,'Página31'!$A$1:$V$27,COLUMN(),TRUE),2)</f>
        <v>28810.18</v>
      </c>
      <c r="F47" s="48">
        <f>ROUND(IF(MONTH($A47)=12,2.333,1)*VLOOKUP($A47,'Página31'!$A$1:$V$27,COLUMN(),TRUE),2)</f>
        <v>0</v>
      </c>
      <c r="G47" s="48">
        <f t="shared" si="3"/>
        <v>7216.35</v>
      </c>
      <c r="H47" s="48">
        <f>ROUND(IF(MONTH($A47)=12,2.333,1)*VLOOKUP($A47,'Página31'!$A$1:$V$27,COLUMN(),TRUE),2)</f>
        <v>23588.13</v>
      </c>
      <c r="I47" s="48">
        <f t="shared" si="4"/>
        <v>27303.62</v>
      </c>
      <c r="J47" s="48">
        <f>ROUND(IF(MONTH($A47)=12,2.333,1)*VLOOKUP($A47,'Página31'!$A$1:$V$27,COLUMN(),TRUE),2)</f>
        <v>20444.52</v>
      </c>
      <c r="K47" s="48">
        <f>ROUND(IF(MONTH($A47)=12,2.333,1)*VLOOKUP($A47,'Página31'!$A$1:$V$27,COLUMN(),TRUE),2)</f>
        <v>19459.13</v>
      </c>
      <c r="L47" s="48" t="str">
        <f>VLOOKUP($A47,'Página31'!$A$1:$V$27,COLUMN(),TRUE)</f>
        <v/>
      </c>
      <c r="M47" s="48">
        <f>VLOOKUP($A47,'Página31'!$A$1:$V$27,COLUMN(),TRUE)</f>
        <v>18529.64225</v>
      </c>
      <c r="N47" s="48">
        <f>VLOOKUP($A47,'Página31'!$A$1:$V$27,COLUMN(),TRUE)</f>
        <v>27303.7</v>
      </c>
      <c r="O47" s="48" t="str">
        <f>VLOOKUP($A47,'Página31'!$A$1:$V$27,COLUMN(),TRUE)</f>
        <v/>
      </c>
      <c r="P47" s="48">
        <f>VLOOKUP($A47,'Página31'!$A$1:$V$27,COLUMN(),TRUE)</f>
        <v>7216.35</v>
      </c>
      <c r="Q47" s="48" t="str">
        <f>VLOOKUP($A47,'Página31'!$A$1:$V$27,COLUMN(),TRUE)</f>
        <v/>
      </c>
      <c r="R47" s="48">
        <f>VLOOKUP($A47,'Página31'!$A$1:$V$27,COLUMN(),TRUE)</f>
        <v>27303.62</v>
      </c>
      <c r="S47" s="48" t="str">
        <f>VLOOKUP($A47,'Página31'!$A$1:$V$27,COLUMN(),TRUE)</f>
        <v/>
      </c>
      <c r="T47" s="73">
        <f t="shared" si="5"/>
        <v>2019</v>
      </c>
      <c r="U47" s="73">
        <f t="shared" si="6"/>
        <v>10</v>
      </c>
    </row>
    <row r="48">
      <c r="A48" s="34">
        <v>43770.0</v>
      </c>
      <c r="B48" s="48">
        <f t="shared" si="1"/>
        <v>16676.68</v>
      </c>
      <c r="C48" s="48">
        <f>ROUND(IF(MONTH($A48)=12,2.333,1)*VLOOKUP($A48,'Página31'!$A$1:$V$27,COLUMN(),TRUE),2)</f>
        <v>28810.18</v>
      </c>
      <c r="D48" s="48">
        <f t="shared" si="2"/>
        <v>27303.7</v>
      </c>
      <c r="E48" s="48">
        <f>ROUND(IF(MONTH($A48)=12,2.333,1)*VLOOKUP($A48,'Página31'!$A$1:$V$27,COLUMN(),TRUE),2)</f>
        <v>28810.18</v>
      </c>
      <c r="F48" s="48">
        <f>ROUND(IF(MONTH($A48)=12,2.333,1)*VLOOKUP($A48,'Página31'!$A$1:$V$27,COLUMN(),TRUE),2)</f>
        <v>0</v>
      </c>
      <c r="G48" s="48">
        <f t="shared" si="3"/>
        <v>7216.35</v>
      </c>
      <c r="H48" s="48">
        <f>ROUND(IF(MONTH($A48)=12,2.333,1)*VLOOKUP($A48,'Página31'!$A$1:$V$27,COLUMN(),TRUE),2)</f>
        <v>23588.13</v>
      </c>
      <c r="I48" s="48">
        <f t="shared" si="4"/>
        <v>27303.62</v>
      </c>
      <c r="J48" s="48">
        <f>ROUND(IF(MONTH($A48)=12,2.333,1)*VLOOKUP($A48,'Página31'!$A$1:$V$27,COLUMN(),TRUE),2)</f>
        <v>20444.52</v>
      </c>
      <c r="K48" s="48">
        <f>ROUND(IF(MONTH($A48)=12,2.333,1)*VLOOKUP($A48,'Página31'!$A$1:$V$27,COLUMN(),TRUE),2)</f>
        <v>19459.13</v>
      </c>
      <c r="L48" s="48" t="str">
        <f>VLOOKUP($A48,'Página31'!$A$1:$V$27,COLUMN(),TRUE)</f>
        <v/>
      </c>
      <c r="M48" s="48">
        <f>VLOOKUP($A48,'Página31'!$A$1:$V$27,COLUMN(),TRUE)</f>
        <v>18529.64225</v>
      </c>
      <c r="N48" s="48">
        <f>VLOOKUP($A48,'Página31'!$A$1:$V$27,COLUMN(),TRUE)</f>
        <v>27303.7</v>
      </c>
      <c r="O48" s="48" t="str">
        <f>VLOOKUP($A48,'Página31'!$A$1:$V$27,COLUMN(),TRUE)</f>
        <v/>
      </c>
      <c r="P48" s="48">
        <f>VLOOKUP($A48,'Página31'!$A$1:$V$27,COLUMN(),TRUE)</f>
        <v>7216.35</v>
      </c>
      <c r="Q48" s="48" t="str">
        <f>VLOOKUP($A48,'Página31'!$A$1:$V$27,COLUMN(),TRUE)</f>
        <v/>
      </c>
      <c r="R48" s="48">
        <f>VLOOKUP($A48,'Página31'!$A$1:$V$27,COLUMN(),TRUE)</f>
        <v>27303.62</v>
      </c>
      <c r="S48" s="48" t="str">
        <f>VLOOKUP($A48,'Página31'!$A$1:$V$27,COLUMN(),TRUE)</f>
        <v/>
      </c>
      <c r="T48" s="73">
        <f t="shared" si="5"/>
        <v>2019</v>
      </c>
      <c r="U48" s="73">
        <f t="shared" si="6"/>
        <v>11</v>
      </c>
    </row>
    <row r="49">
      <c r="A49" s="34">
        <v>43800.0</v>
      </c>
      <c r="B49" s="48">
        <f t="shared" si="1"/>
        <v>38906.69</v>
      </c>
      <c r="C49" s="48">
        <f>ROUND(IF(MONTH($A49)=12,2.333,1)*VLOOKUP($A49,'Página31'!$A$1:$V$27,COLUMN(),TRUE),2)</f>
        <v>67214.15</v>
      </c>
      <c r="D49" s="48">
        <f t="shared" si="2"/>
        <v>63699.53</v>
      </c>
      <c r="E49" s="48">
        <f>ROUND(IF(MONTH($A49)=12,2.333,1)*VLOOKUP($A49,'Página31'!$A$1:$V$27,COLUMN(),TRUE),2)</f>
        <v>67214.15</v>
      </c>
      <c r="F49" s="48">
        <f>ROUND(IF(MONTH($A49)=12,2.333,1)*VLOOKUP($A49,'Página31'!$A$1:$V$27,COLUMN(),TRUE),2)</f>
        <v>0</v>
      </c>
      <c r="G49" s="48">
        <f t="shared" si="3"/>
        <v>16835.74</v>
      </c>
      <c r="H49" s="48">
        <f>ROUND(IF(MONTH($A49)=12,2.333,1)*VLOOKUP($A49,'Página31'!$A$1:$V$27,COLUMN(),TRUE),2)</f>
        <v>55031.11</v>
      </c>
      <c r="I49" s="48">
        <f t="shared" si="4"/>
        <v>63699.35</v>
      </c>
      <c r="J49" s="48">
        <f>ROUND(IF(MONTH($A49)=12,2.333,1)*VLOOKUP($A49,'Página31'!$A$1:$V$27,COLUMN(),TRUE),2)</f>
        <v>47697.06</v>
      </c>
      <c r="K49" s="48">
        <f>ROUND(IF(MONTH($A49)=12,2.333,1)*VLOOKUP($A49,'Página31'!$A$1:$V$27,COLUMN(),TRUE),2)</f>
        <v>45398.15</v>
      </c>
      <c r="L49" s="48" t="str">
        <f>VLOOKUP($A49,'Página31'!$A$1:$V$27,COLUMN(),TRUE)</f>
        <v/>
      </c>
      <c r="M49" s="48">
        <f>VLOOKUP($A49,'Página31'!$A$1:$V$27,COLUMN(),TRUE)</f>
        <v>18529.64225</v>
      </c>
      <c r="N49" s="48">
        <f>VLOOKUP($A49,'Página31'!$A$1:$V$27,COLUMN(),TRUE)</f>
        <v>27303.7</v>
      </c>
      <c r="O49" s="48" t="str">
        <f>VLOOKUP($A49,'Página31'!$A$1:$V$27,COLUMN(),TRUE)</f>
        <v/>
      </c>
      <c r="P49" s="48">
        <f>VLOOKUP($A49,'Página31'!$A$1:$V$27,COLUMN(),TRUE)</f>
        <v>7216.35</v>
      </c>
      <c r="Q49" s="48" t="str">
        <f>VLOOKUP($A49,'Página31'!$A$1:$V$27,COLUMN(),TRUE)</f>
        <v/>
      </c>
      <c r="R49" s="48">
        <f>VLOOKUP($A49,'Página31'!$A$1:$V$27,COLUMN(),TRUE)</f>
        <v>27303.62</v>
      </c>
      <c r="S49" s="48" t="str">
        <f>VLOOKUP($A49,'Página31'!$A$1:$V$27,COLUMN(),TRUE)</f>
        <v/>
      </c>
      <c r="T49" s="73">
        <f t="shared" si="5"/>
        <v>2019</v>
      </c>
      <c r="U49" s="73">
        <f t="shared" si="6"/>
        <v>12</v>
      </c>
    </row>
    <row r="50">
      <c r="A50" s="34">
        <v>43831.0</v>
      </c>
      <c r="B50" s="48">
        <f t="shared" si="1"/>
        <v>16676.68</v>
      </c>
      <c r="C50" s="48">
        <f>ROUND(IF(MONTH($A50)=12,2.333,1)*VLOOKUP($A50,'Página31'!$A$1:$V$27,COLUMN(),TRUE),2)</f>
        <v>28810.18</v>
      </c>
      <c r="D50" s="48">
        <f t="shared" si="2"/>
        <v>27303.7</v>
      </c>
      <c r="E50" s="48">
        <f>ROUND(IF(MONTH($A50)=12,2.333,1)*VLOOKUP($A50,'Página31'!$A$1:$V$27,COLUMN(),TRUE),2)</f>
        <v>28810.18</v>
      </c>
      <c r="F50" s="48">
        <f>ROUND(IF(MONTH($A50)=12,2.333,1)*VLOOKUP($A50,'Página31'!$A$1:$V$27,COLUMN(),TRUE),2)</f>
        <v>0</v>
      </c>
      <c r="G50" s="48">
        <f t="shared" si="3"/>
        <v>7850</v>
      </c>
      <c r="H50" s="48">
        <f>ROUND(IF(MONTH($A50)=12,2.333,1)*VLOOKUP($A50,'Página31'!$A$1:$V$27,COLUMN(),TRUE),2)</f>
        <v>24036.04</v>
      </c>
      <c r="I50" s="48">
        <f t="shared" si="4"/>
        <v>27303.62</v>
      </c>
      <c r="J50" s="48">
        <f>ROUND(IF(MONTH($A50)=12,2.333,1)*VLOOKUP($A50,'Página31'!$A$1:$V$27,COLUMN(),TRUE),2)</f>
        <v>20444.52</v>
      </c>
      <c r="K50" s="48">
        <f>ROUND(IF(MONTH($A50)=12,2.333,1)*VLOOKUP($A50,'Página31'!$A$1:$V$27,COLUMN(),TRUE),2)</f>
        <v>19459.13</v>
      </c>
      <c r="L50" s="48" t="str">
        <f>VLOOKUP($A50,'Página31'!$A$1:$V$27,COLUMN(),TRUE)</f>
        <v/>
      </c>
      <c r="M50" s="48">
        <f>VLOOKUP($A50,'Página31'!$A$1:$V$27,COLUMN(),TRUE)</f>
        <v>18529.64225</v>
      </c>
      <c r="N50" s="48">
        <f>VLOOKUP($A50,'Página31'!$A$1:$V$27,COLUMN(),TRUE)</f>
        <v>27303.7</v>
      </c>
      <c r="O50" s="48" t="str">
        <f>VLOOKUP($A50,'Página31'!$A$1:$V$27,COLUMN(),TRUE)</f>
        <v/>
      </c>
      <c r="P50" s="48">
        <f>VLOOKUP($A50,'Página31'!$A$1:$V$27,COLUMN(),TRUE)</f>
        <v>7850</v>
      </c>
      <c r="Q50" s="48" t="str">
        <f>VLOOKUP($A50,'Página31'!$A$1:$V$27,COLUMN(),TRUE)</f>
        <v/>
      </c>
      <c r="R50" s="48">
        <f>VLOOKUP($A50,'Página31'!$A$1:$V$27,COLUMN(),TRUE)</f>
        <v>27303.62</v>
      </c>
      <c r="S50" s="48" t="str">
        <f>VLOOKUP($A50,'Página31'!$A$1:$V$27,COLUMN(),TRUE)</f>
        <v/>
      </c>
      <c r="T50" s="73">
        <f t="shared" si="5"/>
        <v>2020</v>
      </c>
      <c r="U50" s="73">
        <f t="shared" si="6"/>
        <v>1</v>
      </c>
    </row>
    <row r="51">
      <c r="A51" s="34">
        <v>43862.0</v>
      </c>
      <c r="B51" s="48">
        <f t="shared" si="1"/>
        <v>16676.68</v>
      </c>
      <c r="C51" s="48">
        <f>ROUND(IF(MONTH($A51)=12,2.333,1)*VLOOKUP($A51,'Página31'!$A$1:$V$27,COLUMN(),TRUE),2)</f>
        <v>28810.18</v>
      </c>
      <c r="D51" s="48">
        <f t="shared" si="2"/>
        <v>27303.7</v>
      </c>
      <c r="E51" s="48">
        <f>ROUND(IF(MONTH($A51)=12,2.333,1)*VLOOKUP($A51,'Página31'!$A$1:$V$27,COLUMN(),TRUE),2)</f>
        <v>28810.18</v>
      </c>
      <c r="F51" s="48">
        <f>ROUND(IF(MONTH($A51)=12,2.333,1)*VLOOKUP($A51,'Página31'!$A$1:$V$27,COLUMN(),TRUE),2)</f>
        <v>0</v>
      </c>
      <c r="G51" s="48">
        <f t="shared" si="3"/>
        <v>7850</v>
      </c>
      <c r="H51" s="48">
        <f>ROUND(IF(MONTH($A51)=12,2.333,1)*VLOOKUP($A51,'Página31'!$A$1:$V$27,COLUMN(),TRUE),2)</f>
        <v>24036.04</v>
      </c>
      <c r="I51" s="48">
        <f t="shared" si="4"/>
        <v>27303.62</v>
      </c>
      <c r="J51" s="48">
        <f>ROUND(IF(MONTH($A51)=12,2.333,1)*VLOOKUP($A51,'Página31'!$A$1:$V$27,COLUMN(),TRUE),2)</f>
        <v>20444.52</v>
      </c>
      <c r="K51" s="48">
        <f>ROUND(IF(MONTH($A51)=12,2.333,1)*VLOOKUP($A51,'Página31'!$A$1:$V$27,COLUMN(),TRUE),2)</f>
        <v>19459.13</v>
      </c>
      <c r="L51" s="48" t="str">
        <f>VLOOKUP($A51,'Página31'!$A$1:$V$27,COLUMN(),TRUE)</f>
        <v/>
      </c>
      <c r="M51" s="48">
        <f>VLOOKUP($A51,'Página31'!$A$1:$V$27,COLUMN(),TRUE)</f>
        <v>18529.64225</v>
      </c>
      <c r="N51" s="48">
        <f>VLOOKUP($A51,'Página31'!$A$1:$V$27,COLUMN(),TRUE)</f>
        <v>27303.7</v>
      </c>
      <c r="O51" s="48" t="str">
        <f>VLOOKUP($A51,'Página31'!$A$1:$V$27,COLUMN(),TRUE)</f>
        <v/>
      </c>
      <c r="P51" s="48">
        <f>VLOOKUP($A51,'Página31'!$A$1:$V$27,COLUMN(),TRUE)</f>
        <v>7850</v>
      </c>
      <c r="Q51" s="48" t="str">
        <f>VLOOKUP($A51,'Página31'!$A$1:$V$27,COLUMN(),TRUE)</f>
        <v/>
      </c>
      <c r="R51" s="48">
        <f>VLOOKUP($A51,'Página31'!$A$1:$V$27,COLUMN(),TRUE)</f>
        <v>27303.62</v>
      </c>
      <c r="S51" s="48" t="str">
        <f>VLOOKUP($A51,'Página31'!$A$1:$V$27,COLUMN(),TRUE)</f>
        <v/>
      </c>
      <c r="T51" s="73">
        <f t="shared" si="5"/>
        <v>2020</v>
      </c>
      <c r="U51" s="73">
        <f t="shared" si="6"/>
        <v>2</v>
      </c>
    </row>
    <row r="52">
      <c r="A52" s="34">
        <v>43891.0</v>
      </c>
      <c r="B52" s="48">
        <f t="shared" si="1"/>
        <v>15837.15</v>
      </c>
      <c r="C52" s="48">
        <f>ROUND(IF(MONTH($A52)=12,2.333,1)*VLOOKUP($A52,'Página31'!$A$1:$V$27,COLUMN(),TRUE),2)</f>
        <v>28810.18</v>
      </c>
      <c r="D52" s="48">
        <f t="shared" si="2"/>
        <v>27303.7</v>
      </c>
      <c r="E52" s="48">
        <f>ROUND(IF(MONTH($A52)=12,2.333,1)*VLOOKUP($A52,'Página31'!$A$1:$V$27,COLUMN(),TRUE),2)</f>
        <v>28810.18</v>
      </c>
      <c r="F52" s="48">
        <f>ROUND(IF(MONTH($A52)=12,2.333,1)*VLOOKUP($A52,'Página31'!$A$1:$V$27,COLUMN(),TRUE),2)</f>
        <v>0</v>
      </c>
      <c r="G52" s="48">
        <f t="shared" si="3"/>
        <v>8140.7</v>
      </c>
      <c r="H52" s="48">
        <f>ROUND(IF(MONTH($A52)=12,2.333,1)*VLOOKUP($A52,'Página31'!$A$1:$V$27,COLUMN(),TRUE),2)</f>
        <v>23312.55</v>
      </c>
      <c r="I52" s="48">
        <f t="shared" si="4"/>
        <v>27303.62</v>
      </c>
      <c r="J52" s="48">
        <f>ROUND(IF(MONTH($A52)=12,2.333,1)*VLOOKUP($A52,'Página31'!$A$1:$V$27,COLUMN(),TRUE),2)</f>
        <v>19515.54</v>
      </c>
      <c r="K52" s="48">
        <f>ROUND(IF(MONTH($A52)=12,2.333,1)*VLOOKUP($A52,'Página31'!$A$1:$V$27,COLUMN(),TRUE),2)</f>
        <v>18442.77</v>
      </c>
      <c r="L52" s="48" t="str">
        <f>VLOOKUP($A52,'Página31'!$A$1:$V$27,COLUMN(),TRUE)</f>
        <v/>
      </c>
      <c r="M52" s="48">
        <f>VLOOKUP($A52,'Página31'!$A$1:$V$27,COLUMN(),TRUE)</f>
        <v>17596.82825</v>
      </c>
      <c r="N52" s="48">
        <f>VLOOKUP($A52,'Página31'!$A$1:$V$27,COLUMN(),TRUE)</f>
        <v>27303.7</v>
      </c>
      <c r="O52" s="48" t="str">
        <f>VLOOKUP($A52,'Página31'!$A$1:$V$27,COLUMN(),TRUE)</f>
        <v/>
      </c>
      <c r="P52" s="48">
        <f>VLOOKUP($A52,'Página31'!$A$1:$V$27,COLUMN(),TRUE)</f>
        <v>8140.7</v>
      </c>
      <c r="Q52" s="48" t="str">
        <f>VLOOKUP($A52,'Página31'!$A$1:$V$27,COLUMN(),TRUE)</f>
        <v/>
      </c>
      <c r="R52" s="48">
        <f>VLOOKUP($A52,'Página31'!$A$1:$V$27,COLUMN(),TRUE)</f>
        <v>27303.62</v>
      </c>
      <c r="S52" s="48" t="str">
        <f>VLOOKUP($A52,'Página31'!$A$1:$V$27,COLUMN(),TRUE)</f>
        <v/>
      </c>
      <c r="T52" s="73">
        <f t="shared" si="5"/>
        <v>2020</v>
      </c>
      <c r="U52" s="73">
        <f t="shared" si="6"/>
        <v>3</v>
      </c>
    </row>
    <row r="53">
      <c r="A53" s="34">
        <v>43922.0</v>
      </c>
      <c r="B53" s="48">
        <f t="shared" si="1"/>
        <v>15837.15</v>
      </c>
      <c r="C53" s="48">
        <f>ROUND(IF(MONTH($A53)=12,2.333,1)*VLOOKUP($A53,'Página31'!$A$1:$V$27,COLUMN(),TRUE),2)</f>
        <v>28810.18</v>
      </c>
      <c r="D53" s="48">
        <f t="shared" si="2"/>
        <v>27303.7</v>
      </c>
      <c r="E53" s="48">
        <f>ROUND(IF(MONTH($A53)=12,2.333,1)*VLOOKUP($A53,'Página31'!$A$1:$V$27,COLUMN(),TRUE),2)</f>
        <v>28810.18</v>
      </c>
      <c r="F53" s="48">
        <f>ROUND(IF(MONTH($A53)=12,2.333,1)*VLOOKUP($A53,'Página31'!$A$1:$V$27,COLUMN(),TRUE),2)</f>
        <v>0</v>
      </c>
      <c r="G53" s="48">
        <f t="shared" si="3"/>
        <v>8140.7</v>
      </c>
      <c r="H53" s="48">
        <f>ROUND(IF(MONTH($A53)=12,2.333,1)*VLOOKUP($A53,'Página31'!$A$1:$V$27,COLUMN(),TRUE),2)</f>
        <v>23312.55</v>
      </c>
      <c r="I53" s="48">
        <f t="shared" si="4"/>
        <v>27303.62</v>
      </c>
      <c r="J53" s="48">
        <f>ROUND(IF(MONTH($A53)=12,2.333,1)*VLOOKUP($A53,'Página31'!$A$1:$V$27,COLUMN(),TRUE),2)</f>
        <v>19515.54</v>
      </c>
      <c r="K53" s="48">
        <f>ROUND(IF(MONTH($A53)=12,2.333,1)*VLOOKUP($A53,'Página31'!$A$1:$V$27,COLUMN(),TRUE),2)</f>
        <v>18442.77</v>
      </c>
      <c r="L53" s="48" t="str">
        <f>VLOOKUP($A53,'Página31'!$A$1:$V$27,COLUMN(),TRUE)</f>
        <v/>
      </c>
      <c r="M53" s="48">
        <f>VLOOKUP($A53,'Página31'!$A$1:$V$27,COLUMN(),TRUE)</f>
        <v>17596.82825</v>
      </c>
      <c r="N53" s="48">
        <f>VLOOKUP($A53,'Página31'!$A$1:$V$27,COLUMN(),TRUE)</f>
        <v>27303.7</v>
      </c>
      <c r="O53" s="48" t="str">
        <f>VLOOKUP($A53,'Página31'!$A$1:$V$27,COLUMN(),TRUE)</f>
        <v/>
      </c>
      <c r="P53" s="48">
        <f>VLOOKUP($A53,'Página31'!$A$1:$V$27,COLUMN(),TRUE)</f>
        <v>8140.7</v>
      </c>
      <c r="Q53" s="48" t="str">
        <f>VLOOKUP($A53,'Página31'!$A$1:$V$27,COLUMN(),TRUE)</f>
        <v/>
      </c>
      <c r="R53" s="48">
        <f>VLOOKUP($A53,'Página31'!$A$1:$V$27,COLUMN(),TRUE)</f>
        <v>27303.62</v>
      </c>
      <c r="S53" s="48" t="str">
        <f>VLOOKUP($A53,'Página31'!$A$1:$V$27,COLUMN(),TRUE)</f>
        <v/>
      </c>
      <c r="T53" s="73">
        <f t="shared" si="5"/>
        <v>2020</v>
      </c>
      <c r="U53" s="73">
        <f t="shared" si="6"/>
        <v>4</v>
      </c>
    </row>
    <row r="54">
      <c r="A54" s="34">
        <v>43952.0</v>
      </c>
      <c r="B54" s="48">
        <f t="shared" si="1"/>
        <v>15837.15</v>
      </c>
      <c r="C54" s="48">
        <f>ROUND(IF(MONTH($A54)=12,2.333,1)*VLOOKUP($A54,'Página31'!$A$1:$V$27,COLUMN(),TRUE),2)</f>
        <v>28810.18</v>
      </c>
      <c r="D54" s="48">
        <f t="shared" si="2"/>
        <v>27303.7</v>
      </c>
      <c r="E54" s="48">
        <f>ROUND(IF(MONTH($A54)=12,2.333,1)*VLOOKUP($A54,'Página31'!$A$1:$V$27,COLUMN(),TRUE),2)</f>
        <v>28810.18</v>
      </c>
      <c r="F54" s="48">
        <f>ROUND(IF(MONTH($A54)=12,2.333,1)*VLOOKUP($A54,'Página31'!$A$1:$V$27,COLUMN(),TRUE),2)</f>
        <v>0</v>
      </c>
      <c r="G54" s="48">
        <f t="shared" si="3"/>
        <v>8140.7</v>
      </c>
      <c r="H54" s="48">
        <f>ROUND(IF(MONTH($A54)=12,2.333,1)*VLOOKUP($A54,'Página31'!$A$1:$V$27,COLUMN(),TRUE),2)</f>
        <v>23312.55</v>
      </c>
      <c r="I54" s="48">
        <f t="shared" si="4"/>
        <v>27303.62</v>
      </c>
      <c r="J54" s="48">
        <f>ROUND(IF(MONTH($A54)=12,2.333,1)*VLOOKUP($A54,'Página31'!$A$1:$V$27,COLUMN(),TRUE),2)</f>
        <v>19515.54</v>
      </c>
      <c r="K54" s="48">
        <f>ROUND(IF(MONTH($A54)=12,2.333,1)*VLOOKUP($A54,'Página31'!$A$1:$V$27,COLUMN(),TRUE),2)</f>
        <v>18442.77</v>
      </c>
      <c r="L54" s="48" t="str">
        <f>VLOOKUP($A54,'Página31'!$A$1:$V$27,COLUMN(),TRUE)</f>
        <v/>
      </c>
      <c r="M54" s="48">
        <f>VLOOKUP($A54,'Página31'!$A$1:$V$27,COLUMN(),TRUE)</f>
        <v>17596.82825</v>
      </c>
      <c r="N54" s="48">
        <f>VLOOKUP($A54,'Página31'!$A$1:$V$27,COLUMN(),TRUE)</f>
        <v>27303.7</v>
      </c>
      <c r="O54" s="48" t="str">
        <f>VLOOKUP($A54,'Página31'!$A$1:$V$27,COLUMN(),TRUE)</f>
        <v/>
      </c>
      <c r="P54" s="48">
        <f>VLOOKUP($A54,'Página31'!$A$1:$V$27,COLUMN(),TRUE)</f>
        <v>8140.7</v>
      </c>
      <c r="Q54" s="48" t="str">
        <f>VLOOKUP($A54,'Página31'!$A$1:$V$27,COLUMN(),TRUE)</f>
        <v/>
      </c>
      <c r="R54" s="48">
        <f>VLOOKUP($A54,'Página31'!$A$1:$V$27,COLUMN(),TRUE)</f>
        <v>27303.62</v>
      </c>
      <c r="S54" s="48" t="str">
        <f>VLOOKUP($A54,'Página31'!$A$1:$V$27,COLUMN(),TRUE)</f>
        <v/>
      </c>
      <c r="T54" s="73">
        <f t="shared" si="5"/>
        <v>2020</v>
      </c>
      <c r="U54" s="73">
        <f t="shared" si="6"/>
        <v>5</v>
      </c>
    </row>
    <row r="55">
      <c r="A55" s="34">
        <v>43983.0</v>
      </c>
      <c r="B55" s="48">
        <f t="shared" si="1"/>
        <v>15837.15</v>
      </c>
      <c r="C55" s="48">
        <f>ROUND(IF(MONTH($A55)=12,2.333,1)*VLOOKUP($A55,'Página31'!$A$1:$V$27,COLUMN(),TRUE),2)</f>
        <v>28810.18</v>
      </c>
      <c r="D55" s="48">
        <f t="shared" si="2"/>
        <v>27303.7</v>
      </c>
      <c r="E55" s="48">
        <f>ROUND(IF(MONTH($A55)=12,2.333,1)*VLOOKUP($A55,'Página31'!$A$1:$V$27,COLUMN(),TRUE),2)</f>
        <v>28810.18</v>
      </c>
      <c r="F55" s="48">
        <f>ROUND(IF(MONTH($A55)=12,2.333,1)*VLOOKUP($A55,'Página31'!$A$1:$V$27,COLUMN(),TRUE),2)</f>
        <v>0</v>
      </c>
      <c r="G55" s="48">
        <f t="shared" si="3"/>
        <v>8140.7</v>
      </c>
      <c r="H55" s="48">
        <f>ROUND(IF(MONTH($A55)=12,2.333,1)*VLOOKUP($A55,'Página31'!$A$1:$V$27,COLUMN(),TRUE),2)</f>
        <v>23312.55</v>
      </c>
      <c r="I55" s="48">
        <f t="shared" si="4"/>
        <v>27303.62</v>
      </c>
      <c r="J55" s="48">
        <f>ROUND(IF(MONTH($A55)=12,2.333,1)*VLOOKUP($A55,'Página31'!$A$1:$V$27,COLUMN(),TRUE),2)</f>
        <v>19515.54</v>
      </c>
      <c r="K55" s="48">
        <f>ROUND(IF(MONTH($A55)=12,2.333,1)*VLOOKUP($A55,'Página31'!$A$1:$V$27,COLUMN(),TRUE),2)</f>
        <v>18442.77</v>
      </c>
      <c r="L55" s="48" t="str">
        <f>VLOOKUP($A55,'Página31'!$A$1:$V$27,COLUMN(),TRUE)</f>
        <v/>
      </c>
      <c r="M55" s="48">
        <f>VLOOKUP($A55,'Página31'!$A$1:$V$27,COLUMN(),TRUE)</f>
        <v>17596.82825</v>
      </c>
      <c r="N55" s="48">
        <f>VLOOKUP($A55,'Página31'!$A$1:$V$27,COLUMN(),TRUE)</f>
        <v>27303.7</v>
      </c>
      <c r="O55" s="48" t="str">
        <f>VLOOKUP($A55,'Página31'!$A$1:$V$27,COLUMN(),TRUE)</f>
        <v/>
      </c>
      <c r="P55" s="48">
        <f>VLOOKUP($A55,'Página31'!$A$1:$V$27,COLUMN(),TRUE)</f>
        <v>8140.7</v>
      </c>
      <c r="Q55" s="48" t="str">
        <f>VLOOKUP($A55,'Página31'!$A$1:$V$27,COLUMN(),TRUE)</f>
        <v/>
      </c>
      <c r="R55" s="48">
        <f>VLOOKUP($A55,'Página31'!$A$1:$V$27,COLUMN(),TRUE)</f>
        <v>27303.62</v>
      </c>
      <c r="S55" s="48" t="str">
        <f>VLOOKUP($A55,'Página31'!$A$1:$V$27,COLUMN(),TRUE)</f>
        <v/>
      </c>
      <c r="T55" s="73">
        <f t="shared" si="5"/>
        <v>2020</v>
      </c>
      <c r="U55" s="73">
        <f t="shared" si="6"/>
        <v>6</v>
      </c>
    </row>
    <row r="56">
      <c r="A56" s="34">
        <v>44013.0</v>
      </c>
      <c r="B56" s="48">
        <f t="shared" si="1"/>
        <v>15837.15</v>
      </c>
      <c r="C56" s="48">
        <f>ROUND(IF(MONTH($A56)=12,2.333,1)*VLOOKUP($A56,'Página31'!$A$1:$V$27,COLUMN(),TRUE),2)</f>
        <v>28810.18</v>
      </c>
      <c r="D56" s="48">
        <f t="shared" si="2"/>
        <v>27303.7</v>
      </c>
      <c r="E56" s="48">
        <f>ROUND(IF(MONTH($A56)=12,2.333,1)*VLOOKUP($A56,'Página31'!$A$1:$V$27,COLUMN(),TRUE),2)</f>
        <v>28810.18</v>
      </c>
      <c r="F56" s="48">
        <f>ROUND(IF(MONTH($A56)=12,2.333,1)*VLOOKUP($A56,'Página31'!$A$1:$V$27,COLUMN(),TRUE),2)</f>
        <v>0</v>
      </c>
      <c r="G56" s="48">
        <f t="shared" si="3"/>
        <v>8140.7</v>
      </c>
      <c r="H56" s="48">
        <f>ROUND(IF(MONTH($A56)=12,2.333,1)*VLOOKUP($A56,'Página31'!$A$1:$V$27,COLUMN(),TRUE),2)</f>
        <v>23312.55</v>
      </c>
      <c r="I56" s="48">
        <f t="shared" si="4"/>
        <v>27303.62</v>
      </c>
      <c r="J56" s="48">
        <f>ROUND(IF(MONTH($A56)=12,2.333,1)*VLOOKUP($A56,'Página31'!$A$1:$V$27,COLUMN(),TRUE),2)</f>
        <v>19515.54</v>
      </c>
      <c r="K56" s="48">
        <f>ROUND(IF(MONTH($A56)=12,2.333,1)*VLOOKUP($A56,'Página31'!$A$1:$V$27,COLUMN(),TRUE),2)</f>
        <v>18442.77</v>
      </c>
      <c r="L56" s="48" t="str">
        <f>VLOOKUP($A56,'Página31'!$A$1:$V$27,COLUMN(),TRUE)</f>
        <v/>
      </c>
      <c r="M56" s="48">
        <f>VLOOKUP($A56,'Página31'!$A$1:$V$27,COLUMN(),TRUE)</f>
        <v>17596.82825</v>
      </c>
      <c r="N56" s="48">
        <f>VLOOKUP($A56,'Página31'!$A$1:$V$27,COLUMN(),TRUE)</f>
        <v>27303.7</v>
      </c>
      <c r="O56" s="48" t="str">
        <f>VLOOKUP($A56,'Página31'!$A$1:$V$27,COLUMN(),TRUE)</f>
        <v/>
      </c>
      <c r="P56" s="48">
        <f>VLOOKUP($A56,'Página31'!$A$1:$V$27,COLUMN(),TRUE)</f>
        <v>8140.7</v>
      </c>
      <c r="Q56" s="48" t="str">
        <f>VLOOKUP($A56,'Página31'!$A$1:$V$27,COLUMN(),TRUE)</f>
        <v/>
      </c>
      <c r="R56" s="48">
        <f>VLOOKUP($A56,'Página31'!$A$1:$V$27,COLUMN(),TRUE)</f>
        <v>27303.62</v>
      </c>
      <c r="S56" s="48" t="str">
        <f>VLOOKUP($A56,'Página31'!$A$1:$V$27,COLUMN(),TRUE)</f>
        <v/>
      </c>
      <c r="T56" s="73">
        <f t="shared" si="5"/>
        <v>2020</v>
      </c>
      <c r="U56" s="73">
        <f t="shared" si="6"/>
        <v>7</v>
      </c>
    </row>
    <row r="57">
      <c r="A57" s="34">
        <v>44044.0</v>
      </c>
      <c r="B57" s="48">
        <f t="shared" si="1"/>
        <v>15837.15</v>
      </c>
      <c r="C57" s="48">
        <f>ROUND(IF(MONTH($A57)=12,2.333,1)*VLOOKUP($A57,'Página31'!$A$1:$V$27,COLUMN(),TRUE),2)</f>
        <v>28810.18</v>
      </c>
      <c r="D57" s="48">
        <f t="shared" si="2"/>
        <v>27303.7</v>
      </c>
      <c r="E57" s="48">
        <f>ROUND(IF(MONTH($A57)=12,2.333,1)*VLOOKUP($A57,'Página31'!$A$1:$V$27,COLUMN(),TRUE),2)</f>
        <v>28810.18</v>
      </c>
      <c r="F57" s="48">
        <f>ROUND(IF(MONTH($A57)=12,2.333,1)*VLOOKUP($A57,'Página31'!$A$1:$V$27,COLUMN(),TRUE),2)</f>
        <v>0</v>
      </c>
      <c r="G57" s="48">
        <f t="shared" si="3"/>
        <v>8140.7</v>
      </c>
      <c r="H57" s="48">
        <f>ROUND(IF(MONTH($A57)=12,2.333,1)*VLOOKUP($A57,'Página31'!$A$1:$V$27,COLUMN(),TRUE),2)</f>
        <v>23312.55</v>
      </c>
      <c r="I57" s="48">
        <f t="shared" si="4"/>
        <v>27303.62</v>
      </c>
      <c r="J57" s="48">
        <f>ROUND(IF(MONTH($A57)=12,2.333,1)*VLOOKUP($A57,'Página31'!$A$1:$V$27,COLUMN(),TRUE),2)</f>
        <v>19515.54</v>
      </c>
      <c r="K57" s="48">
        <f>ROUND(IF(MONTH($A57)=12,2.333,1)*VLOOKUP($A57,'Página31'!$A$1:$V$27,COLUMN(),TRUE),2)</f>
        <v>18442.77</v>
      </c>
      <c r="L57" s="48" t="str">
        <f>VLOOKUP($A57,'Página31'!$A$1:$V$27,COLUMN(),TRUE)</f>
        <v/>
      </c>
      <c r="M57" s="48">
        <f>VLOOKUP($A57,'Página31'!$A$1:$V$27,COLUMN(),TRUE)</f>
        <v>17596.82825</v>
      </c>
      <c r="N57" s="48">
        <f>VLOOKUP($A57,'Página31'!$A$1:$V$27,COLUMN(),TRUE)</f>
        <v>27303.7</v>
      </c>
      <c r="O57" s="48" t="str">
        <f>VLOOKUP($A57,'Página31'!$A$1:$V$27,COLUMN(),TRUE)</f>
        <v/>
      </c>
      <c r="P57" s="48">
        <f>VLOOKUP($A57,'Página31'!$A$1:$V$27,COLUMN(),TRUE)</f>
        <v>8140.7</v>
      </c>
      <c r="Q57" s="48" t="str">
        <f>VLOOKUP($A57,'Página31'!$A$1:$V$27,COLUMN(),TRUE)</f>
        <v/>
      </c>
      <c r="R57" s="48">
        <f>VLOOKUP($A57,'Página31'!$A$1:$V$27,COLUMN(),TRUE)</f>
        <v>27303.62</v>
      </c>
      <c r="S57" s="48" t="str">
        <f>VLOOKUP($A57,'Página31'!$A$1:$V$27,COLUMN(),TRUE)</f>
        <v/>
      </c>
      <c r="T57" s="73">
        <f t="shared" si="5"/>
        <v>2020</v>
      </c>
      <c r="U57" s="73">
        <f t="shared" si="6"/>
        <v>8</v>
      </c>
    </row>
    <row r="58">
      <c r="A58" s="34">
        <v>44075.0</v>
      </c>
      <c r="B58" s="48">
        <f t="shared" si="1"/>
        <v>15837.15</v>
      </c>
      <c r="C58" s="48">
        <f>ROUND(IF(MONTH($A58)=12,2.333,1)*VLOOKUP($A58,'Página31'!$A$1:$V$27,COLUMN(),TRUE),2)</f>
        <v>28810.18</v>
      </c>
      <c r="D58" s="48">
        <f t="shared" si="2"/>
        <v>27303.7</v>
      </c>
      <c r="E58" s="48">
        <f>ROUND(IF(MONTH($A58)=12,2.333,1)*VLOOKUP($A58,'Página31'!$A$1:$V$27,COLUMN(),TRUE),2)</f>
        <v>28810.18</v>
      </c>
      <c r="F58" s="48">
        <f>ROUND(IF(MONTH($A58)=12,2.333,1)*VLOOKUP($A58,'Página31'!$A$1:$V$27,COLUMN(),TRUE),2)</f>
        <v>0</v>
      </c>
      <c r="G58" s="48">
        <f t="shared" si="3"/>
        <v>8140.7</v>
      </c>
      <c r="H58" s="48">
        <f>ROUND(IF(MONTH($A58)=12,2.333,1)*VLOOKUP($A58,'Página31'!$A$1:$V$27,COLUMN(),TRUE),2)</f>
        <v>23312.55</v>
      </c>
      <c r="I58" s="48">
        <f t="shared" si="4"/>
        <v>27303.62</v>
      </c>
      <c r="J58" s="48">
        <f>ROUND(IF(MONTH($A58)=12,2.333,1)*VLOOKUP($A58,'Página31'!$A$1:$V$27,COLUMN(),TRUE),2)</f>
        <v>19515.54</v>
      </c>
      <c r="K58" s="48">
        <f>ROUND(IF(MONTH($A58)=12,2.333,1)*VLOOKUP($A58,'Página31'!$A$1:$V$27,COLUMN(),TRUE),2)</f>
        <v>18442.77</v>
      </c>
      <c r="L58" s="48" t="str">
        <f>VLOOKUP($A58,'Página31'!$A$1:$V$27,COLUMN(),TRUE)</f>
        <v/>
      </c>
      <c r="M58" s="48">
        <f>VLOOKUP($A58,'Página31'!$A$1:$V$27,COLUMN(),TRUE)</f>
        <v>17596.82825</v>
      </c>
      <c r="N58" s="48">
        <f>VLOOKUP($A58,'Página31'!$A$1:$V$27,COLUMN(),TRUE)</f>
        <v>27303.7</v>
      </c>
      <c r="O58" s="48" t="str">
        <f>VLOOKUP($A58,'Página31'!$A$1:$V$27,COLUMN(),TRUE)</f>
        <v/>
      </c>
      <c r="P58" s="48">
        <f>VLOOKUP($A58,'Página31'!$A$1:$V$27,COLUMN(),TRUE)</f>
        <v>8140.7</v>
      </c>
      <c r="Q58" s="48" t="str">
        <f>VLOOKUP($A58,'Página31'!$A$1:$V$27,COLUMN(),TRUE)</f>
        <v/>
      </c>
      <c r="R58" s="48">
        <f>VLOOKUP($A58,'Página31'!$A$1:$V$27,COLUMN(),TRUE)</f>
        <v>27303.62</v>
      </c>
      <c r="S58" s="48" t="str">
        <f>VLOOKUP($A58,'Página31'!$A$1:$V$27,COLUMN(),TRUE)</f>
        <v/>
      </c>
      <c r="T58" s="73">
        <f t="shared" si="5"/>
        <v>2020</v>
      </c>
      <c r="U58" s="73">
        <f t="shared" si="6"/>
        <v>9</v>
      </c>
    </row>
    <row r="59">
      <c r="A59" s="34">
        <v>44105.0</v>
      </c>
      <c r="B59" s="48">
        <f t="shared" si="1"/>
        <v>15837.15</v>
      </c>
      <c r="C59" s="48">
        <f>ROUND(IF(MONTH($A59)=12,2.333,1)*VLOOKUP($A59,'Página31'!$A$1:$V$27,COLUMN(),TRUE),2)</f>
        <v>28810.18</v>
      </c>
      <c r="D59" s="48">
        <f t="shared" si="2"/>
        <v>27303.7</v>
      </c>
      <c r="E59" s="48">
        <f>ROUND(IF(MONTH($A59)=12,2.333,1)*VLOOKUP($A59,'Página31'!$A$1:$V$27,COLUMN(),TRUE),2)</f>
        <v>28810.18</v>
      </c>
      <c r="F59" s="48">
        <f>ROUND(IF(MONTH($A59)=12,2.333,1)*VLOOKUP($A59,'Página31'!$A$1:$V$27,COLUMN(),TRUE),2)</f>
        <v>0</v>
      </c>
      <c r="G59" s="48">
        <f t="shared" si="3"/>
        <v>8140.7</v>
      </c>
      <c r="H59" s="48">
        <f>ROUND(IF(MONTH($A59)=12,2.333,1)*VLOOKUP($A59,'Página31'!$A$1:$V$27,COLUMN(),TRUE),2)</f>
        <v>23312.55</v>
      </c>
      <c r="I59" s="48">
        <f t="shared" si="4"/>
        <v>27303.62</v>
      </c>
      <c r="J59" s="48">
        <f>ROUND(IF(MONTH($A59)=12,2.333,1)*VLOOKUP($A59,'Página31'!$A$1:$V$27,COLUMN(),TRUE),2)</f>
        <v>19515.54</v>
      </c>
      <c r="K59" s="48">
        <f>ROUND(IF(MONTH($A59)=12,2.333,1)*VLOOKUP($A59,'Página31'!$A$1:$V$27,COLUMN(),TRUE),2)</f>
        <v>18442.77</v>
      </c>
      <c r="L59" s="48" t="str">
        <f>VLOOKUP($A59,'Página31'!$A$1:$V$27,COLUMN(),TRUE)</f>
        <v/>
      </c>
      <c r="M59" s="48">
        <f>VLOOKUP($A59,'Página31'!$A$1:$V$27,COLUMN(),TRUE)</f>
        <v>17596.82825</v>
      </c>
      <c r="N59" s="48">
        <f>VLOOKUP($A59,'Página31'!$A$1:$V$27,COLUMN(),TRUE)</f>
        <v>27303.7</v>
      </c>
      <c r="O59" s="48" t="str">
        <f>VLOOKUP($A59,'Página31'!$A$1:$V$27,COLUMN(),TRUE)</f>
        <v/>
      </c>
      <c r="P59" s="48">
        <f>VLOOKUP($A59,'Página31'!$A$1:$V$27,COLUMN(),TRUE)</f>
        <v>8140.7</v>
      </c>
      <c r="Q59" s="48" t="str">
        <f>VLOOKUP($A59,'Página31'!$A$1:$V$27,COLUMN(),TRUE)</f>
        <v/>
      </c>
      <c r="R59" s="48">
        <f>VLOOKUP($A59,'Página31'!$A$1:$V$27,COLUMN(),TRUE)</f>
        <v>27303.62</v>
      </c>
      <c r="S59" s="48" t="str">
        <f>VLOOKUP($A59,'Página31'!$A$1:$V$27,COLUMN(),TRUE)</f>
        <v/>
      </c>
      <c r="T59" s="73">
        <f t="shared" si="5"/>
        <v>2020</v>
      </c>
      <c r="U59" s="73">
        <f t="shared" si="6"/>
        <v>10</v>
      </c>
    </row>
    <row r="60">
      <c r="A60" s="34">
        <v>44136.0</v>
      </c>
      <c r="B60" s="48">
        <f t="shared" si="1"/>
        <v>15837.15</v>
      </c>
      <c r="C60" s="48">
        <f>ROUND(IF(MONTH($A60)=12,2.333,1)*VLOOKUP($A60,'Página31'!$A$1:$V$27,COLUMN(),TRUE),2)</f>
        <v>28810.18</v>
      </c>
      <c r="D60" s="48">
        <f t="shared" si="2"/>
        <v>27303.7</v>
      </c>
      <c r="E60" s="48">
        <f>ROUND(IF(MONTH($A60)=12,2.333,1)*VLOOKUP($A60,'Página31'!$A$1:$V$27,COLUMN(),TRUE),2)</f>
        <v>28810.18</v>
      </c>
      <c r="F60" s="48">
        <f>ROUND(IF(MONTH($A60)=12,2.333,1)*VLOOKUP($A60,'Página31'!$A$1:$V$27,COLUMN(),TRUE),2)</f>
        <v>0</v>
      </c>
      <c r="G60" s="48">
        <f t="shared" si="3"/>
        <v>8140.7</v>
      </c>
      <c r="H60" s="48">
        <f>ROUND(IF(MONTH($A60)=12,2.333,1)*VLOOKUP($A60,'Página31'!$A$1:$V$27,COLUMN(),TRUE),2)</f>
        <v>23312.55</v>
      </c>
      <c r="I60" s="48">
        <f t="shared" si="4"/>
        <v>27303.62</v>
      </c>
      <c r="J60" s="48">
        <f>ROUND(IF(MONTH($A60)=12,2.333,1)*VLOOKUP($A60,'Página31'!$A$1:$V$27,COLUMN(),TRUE),2)</f>
        <v>19515.54</v>
      </c>
      <c r="K60" s="48">
        <f>ROUND(IF(MONTH($A60)=12,2.333,1)*VLOOKUP($A60,'Página31'!$A$1:$V$27,COLUMN(),TRUE),2)</f>
        <v>18442.77</v>
      </c>
      <c r="L60" s="48" t="str">
        <f>VLOOKUP($A60,'Página31'!$A$1:$V$27,COLUMN(),TRUE)</f>
        <v/>
      </c>
      <c r="M60" s="48">
        <f>VLOOKUP($A60,'Página31'!$A$1:$V$27,COLUMN(),TRUE)</f>
        <v>17596.82825</v>
      </c>
      <c r="N60" s="48">
        <f>VLOOKUP($A60,'Página31'!$A$1:$V$27,COLUMN(),TRUE)</f>
        <v>27303.7</v>
      </c>
      <c r="O60" s="48" t="str">
        <f>VLOOKUP($A60,'Página31'!$A$1:$V$27,COLUMN(),TRUE)</f>
        <v/>
      </c>
      <c r="P60" s="48">
        <f>VLOOKUP($A60,'Página31'!$A$1:$V$27,COLUMN(),TRUE)</f>
        <v>8140.7</v>
      </c>
      <c r="Q60" s="48" t="str">
        <f>VLOOKUP($A60,'Página31'!$A$1:$V$27,COLUMN(),TRUE)</f>
        <v/>
      </c>
      <c r="R60" s="48">
        <f>VLOOKUP($A60,'Página31'!$A$1:$V$27,COLUMN(),TRUE)</f>
        <v>27303.62</v>
      </c>
      <c r="S60" s="48" t="str">
        <f>VLOOKUP($A60,'Página31'!$A$1:$V$27,COLUMN(),TRUE)</f>
        <v/>
      </c>
      <c r="T60" s="73">
        <f t="shared" si="5"/>
        <v>2020</v>
      </c>
      <c r="U60" s="73">
        <f t="shared" si="6"/>
        <v>11</v>
      </c>
    </row>
    <row r="61">
      <c r="A61" s="34">
        <v>44166.0</v>
      </c>
      <c r="B61" s="48">
        <f t="shared" si="1"/>
        <v>36948.07</v>
      </c>
      <c r="C61" s="48">
        <f>ROUND(IF(MONTH($A61)=12,2.333,1)*VLOOKUP($A61,'Página31'!$A$1:$V$27,COLUMN(),TRUE),2)</f>
        <v>67214.15</v>
      </c>
      <c r="D61" s="48">
        <f t="shared" si="2"/>
        <v>63699.53</v>
      </c>
      <c r="E61" s="48">
        <f>ROUND(IF(MONTH($A61)=12,2.333,1)*VLOOKUP($A61,'Página31'!$A$1:$V$27,COLUMN(),TRUE),2)</f>
        <v>67214.15</v>
      </c>
      <c r="F61" s="48">
        <f>ROUND(IF(MONTH($A61)=12,2.333,1)*VLOOKUP($A61,'Página31'!$A$1:$V$27,COLUMN(),TRUE),2)</f>
        <v>0</v>
      </c>
      <c r="G61" s="48">
        <f t="shared" si="3"/>
        <v>18992.25</v>
      </c>
      <c r="H61" s="48">
        <f>ROUND(IF(MONTH($A61)=12,2.333,1)*VLOOKUP($A61,'Página31'!$A$1:$V$27,COLUMN(),TRUE),2)</f>
        <v>54388.18</v>
      </c>
      <c r="I61" s="48">
        <f t="shared" si="4"/>
        <v>63699.35</v>
      </c>
      <c r="J61" s="48">
        <f>ROUND(IF(MONTH($A61)=12,2.333,1)*VLOOKUP($A61,'Página31'!$A$1:$V$27,COLUMN(),TRUE),2)</f>
        <v>45529.76</v>
      </c>
      <c r="K61" s="48">
        <f>ROUND(IF(MONTH($A61)=12,2.333,1)*VLOOKUP($A61,'Página31'!$A$1:$V$27,COLUMN(),TRUE),2)</f>
        <v>43026.99</v>
      </c>
      <c r="L61" s="48" t="str">
        <f>VLOOKUP($A61,'Página31'!$A$1:$V$27,COLUMN(),TRUE)</f>
        <v/>
      </c>
      <c r="M61" s="48">
        <f>VLOOKUP($A61,'Página31'!$A$1:$V$27,COLUMN(),TRUE)</f>
        <v>17596.82825</v>
      </c>
      <c r="N61" s="48">
        <f>VLOOKUP($A61,'Página31'!$A$1:$V$27,COLUMN(),TRUE)</f>
        <v>27303.7</v>
      </c>
      <c r="O61" s="48" t="str">
        <f>VLOOKUP($A61,'Página31'!$A$1:$V$27,COLUMN(),TRUE)</f>
        <v/>
      </c>
      <c r="P61" s="48">
        <f>VLOOKUP($A61,'Página31'!$A$1:$V$27,COLUMN(),TRUE)</f>
        <v>8140.7</v>
      </c>
      <c r="Q61" s="48" t="str">
        <f>VLOOKUP($A61,'Página31'!$A$1:$V$27,COLUMN(),TRUE)</f>
        <v/>
      </c>
      <c r="R61" s="48">
        <f>VLOOKUP($A61,'Página31'!$A$1:$V$27,COLUMN(),TRUE)</f>
        <v>27303.62</v>
      </c>
      <c r="S61" s="48" t="str">
        <f>VLOOKUP($A61,'Página31'!$A$1:$V$27,COLUMN(),TRUE)</f>
        <v/>
      </c>
      <c r="T61" s="73">
        <f t="shared" si="5"/>
        <v>2020</v>
      </c>
      <c r="U61" s="73">
        <f t="shared" si="6"/>
        <v>12</v>
      </c>
    </row>
    <row r="62">
      <c r="A62" s="34">
        <v>44197.0</v>
      </c>
      <c r="B62" s="48">
        <f t="shared" si="1"/>
        <v>15869.23</v>
      </c>
      <c r="C62" s="48">
        <f>ROUND(IF(MONTH($A62)=12,2.333,1)*VLOOKUP($A62,'Página31'!$A$1:$V$27,COLUMN(),TRUE),2)</f>
        <v>28810.18</v>
      </c>
      <c r="D62" s="48">
        <f t="shared" si="2"/>
        <v>27303.7</v>
      </c>
      <c r="E62" s="48">
        <f>ROUND(IF(MONTH($A62)=12,2.333,1)*VLOOKUP($A62,'Página31'!$A$1:$V$27,COLUMN(),TRUE),2)</f>
        <v>28810.18</v>
      </c>
      <c r="F62" s="48">
        <f>ROUND(IF(MONTH($A62)=12,2.333,1)*VLOOKUP($A62,'Página31'!$A$1:$V$27,COLUMN(),TRUE),2)</f>
        <v>0</v>
      </c>
      <c r="G62" s="48">
        <f t="shared" si="3"/>
        <v>9594.2</v>
      </c>
      <c r="H62" s="48">
        <f>ROUND(IF(MONTH($A62)=12,2.333,1)*VLOOKUP($A62,'Página31'!$A$1:$V$27,COLUMN(),TRUE),2)</f>
        <v>24375.63</v>
      </c>
      <c r="I62" s="48">
        <f t="shared" si="4"/>
        <v>27303.62</v>
      </c>
      <c r="J62" s="48">
        <f>ROUND(IF(MONTH($A62)=12,2.333,1)*VLOOKUP($A62,'Página31'!$A$1:$V$27,COLUMN(),TRUE),2)</f>
        <v>19551.18</v>
      </c>
      <c r="K62" s="48">
        <f>ROUND(IF(MONTH($A62)=12,2.333,1)*VLOOKUP($A62,'Página31'!$A$1:$V$27,COLUMN(),TRUE),2)</f>
        <v>18478.41</v>
      </c>
      <c r="L62" s="48" t="str">
        <f>VLOOKUP($A62,'Página31'!$A$1:$V$27,COLUMN(),TRUE)</f>
        <v/>
      </c>
      <c r="M62" s="48">
        <f>VLOOKUP($A62,'Página31'!$A$1:$V$27,COLUMN(),TRUE)</f>
        <v>17632.46925</v>
      </c>
      <c r="N62" s="48">
        <f>VLOOKUP($A62,'Página31'!$A$1:$V$27,COLUMN(),TRUE)</f>
        <v>27303.7</v>
      </c>
      <c r="O62" s="48" t="str">
        <f>VLOOKUP($A62,'Página31'!$A$1:$V$27,COLUMN(),TRUE)</f>
        <v/>
      </c>
      <c r="P62" s="48">
        <f>VLOOKUP($A62,'Página31'!$A$1:$V$27,COLUMN(),TRUE)</f>
        <v>9594.2</v>
      </c>
      <c r="Q62" s="48" t="str">
        <f>VLOOKUP($A62,'Página31'!$A$1:$V$27,COLUMN(),TRUE)</f>
        <v/>
      </c>
      <c r="R62" s="48">
        <f>VLOOKUP($A62,'Página31'!$A$1:$V$27,COLUMN(),TRUE)</f>
        <v>27303.62</v>
      </c>
      <c r="S62" s="48" t="str">
        <f>VLOOKUP($A62,'Página31'!$A$1:$V$27,COLUMN(),TRUE)</f>
        <v/>
      </c>
      <c r="T62" s="73">
        <f t="shared" si="5"/>
        <v>2021</v>
      </c>
      <c r="U62" s="73">
        <f t="shared" si="6"/>
        <v>1</v>
      </c>
    </row>
    <row r="63">
      <c r="A63" s="34">
        <v>44228.0</v>
      </c>
      <c r="B63" s="48">
        <f t="shared" si="1"/>
        <v>15869.23</v>
      </c>
      <c r="C63" s="48">
        <f>ROUND(IF(MONTH($A63)=12,2.333,1)*VLOOKUP($A63,'Página31'!$A$1:$V$27,COLUMN(),TRUE),2)</f>
        <v>28810.18</v>
      </c>
      <c r="D63" s="48">
        <f t="shared" si="2"/>
        <v>27303.7</v>
      </c>
      <c r="E63" s="48">
        <f>ROUND(IF(MONTH($A63)=12,2.333,1)*VLOOKUP($A63,'Página31'!$A$1:$V$27,COLUMN(),TRUE),2)</f>
        <v>28810.18</v>
      </c>
      <c r="F63" s="48">
        <f>ROUND(IF(MONTH($A63)=12,2.333,1)*VLOOKUP($A63,'Página31'!$A$1:$V$27,COLUMN(),TRUE),2)</f>
        <v>0</v>
      </c>
      <c r="G63" s="48">
        <f t="shared" si="3"/>
        <v>9594.2</v>
      </c>
      <c r="H63" s="48">
        <f>ROUND(IF(MONTH($A63)=12,2.333,1)*VLOOKUP($A63,'Página31'!$A$1:$V$27,COLUMN(),TRUE),2)</f>
        <v>24375.63</v>
      </c>
      <c r="I63" s="48">
        <f t="shared" si="4"/>
        <v>27303.62</v>
      </c>
      <c r="J63" s="48">
        <f>ROUND(IF(MONTH($A63)=12,2.333,1)*VLOOKUP($A63,'Página31'!$A$1:$V$27,COLUMN(),TRUE),2)</f>
        <v>19551.18</v>
      </c>
      <c r="K63" s="48">
        <f>ROUND(IF(MONTH($A63)=12,2.333,1)*VLOOKUP($A63,'Página31'!$A$1:$V$27,COLUMN(),TRUE),2)</f>
        <v>18478.41</v>
      </c>
      <c r="L63" s="48" t="str">
        <f>VLOOKUP($A63,'Página31'!$A$1:$V$27,COLUMN(),TRUE)</f>
        <v/>
      </c>
      <c r="M63" s="48">
        <f>VLOOKUP($A63,'Página31'!$A$1:$V$27,COLUMN(),TRUE)</f>
        <v>17632.46925</v>
      </c>
      <c r="N63" s="48">
        <f>VLOOKUP($A63,'Página31'!$A$1:$V$27,COLUMN(),TRUE)</f>
        <v>27303.7</v>
      </c>
      <c r="O63" s="48" t="str">
        <f>VLOOKUP($A63,'Página31'!$A$1:$V$27,COLUMN(),TRUE)</f>
        <v/>
      </c>
      <c r="P63" s="48">
        <f>VLOOKUP($A63,'Página31'!$A$1:$V$27,COLUMN(),TRUE)</f>
        <v>9594.2</v>
      </c>
      <c r="Q63" s="48" t="str">
        <f>VLOOKUP($A63,'Página31'!$A$1:$V$27,COLUMN(),TRUE)</f>
        <v/>
      </c>
      <c r="R63" s="48">
        <f>VLOOKUP($A63,'Página31'!$A$1:$V$27,COLUMN(),TRUE)</f>
        <v>27303.62</v>
      </c>
      <c r="S63" s="48" t="str">
        <f>VLOOKUP($A63,'Página31'!$A$1:$V$27,COLUMN(),TRUE)</f>
        <v/>
      </c>
      <c r="T63" s="73">
        <f t="shared" si="5"/>
        <v>2021</v>
      </c>
      <c r="U63" s="73">
        <f t="shared" si="6"/>
        <v>2</v>
      </c>
    </row>
    <row r="64">
      <c r="A64" s="34">
        <v>44256.0</v>
      </c>
      <c r="B64" s="48">
        <f t="shared" si="1"/>
        <v>15869.23</v>
      </c>
      <c r="C64" s="48">
        <f>ROUND(IF(MONTH($A64)=12,2.333,1)*VLOOKUP($A64,'Página31'!$A$1:$V$27,COLUMN(),TRUE),2)</f>
        <v>28810.18</v>
      </c>
      <c r="D64" s="48">
        <f t="shared" si="2"/>
        <v>27303.7</v>
      </c>
      <c r="E64" s="48">
        <f>ROUND(IF(MONTH($A64)=12,2.333,1)*VLOOKUP($A64,'Página31'!$A$1:$V$27,COLUMN(),TRUE),2)</f>
        <v>28810.18</v>
      </c>
      <c r="F64" s="48">
        <f>ROUND(IF(MONTH($A64)=12,2.333,1)*VLOOKUP($A64,'Página31'!$A$1:$V$27,COLUMN(),TRUE),2)</f>
        <v>0</v>
      </c>
      <c r="G64" s="48">
        <f t="shared" si="3"/>
        <v>9594.2</v>
      </c>
      <c r="H64" s="48">
        <f>ROUND(IF(MONTH($A64)=12,2.333,1)*VLOOKUP($A64,'Página31'!$A$1:$V$27,COLUMN(),TRUE),2)</f>
        <v>24375.63</v>
      </c>
      <c r="I64" s="48">
        <f t="shared" si="4"/>
        <v>27303.62</v>
      </c>
      <c r="J64" s="48">
        <f>ROUND(IF(MONTH($A64)=12,2.333,1)*VLOOKUP($A64,'Página31'!$A$1:$V$27,COLUMN(),TRUE),2)</f>
        <v>19551.18</v>
      </c>
      <c r="K64" s="48">
        <f>ROUND(IF(MONTH($A64)=12,2.333,1)*VLOOKUP($A64,'Página31'!$A$1:$V$27,COLUMN(),TRUE),2)</f>
        <v>18478.41</v>
      </c>
      <c r="L64" s="48" t="str">
        <f>VLOOKUP($A64,'Página31'!$A$1:$V$27,COLUMN(),TRUE)</f>
        <v/>
      </c>
      <c r="M64" s="48">
        <f>VLOOKUP($A64,'Página31'!$A$1:$V$27,COLUMN(),TRUE)</f>
        <v>17632.46925</v>
      </c>
      <c r="N64" s="48">
        <f>VLOOKUP($A64,'Página31'!$A$1:$V$27,COLUMN(),TRUE)</f>
        <v>27303.7</v>
      </c>
      <c r="O64" s="48" t="str">
        <f>VLOOKUP($A64,'Página31'!$A$1:$V$27,COLUMN(),TRUE)</f>
        <v/>
      </c>
      <c r="P64" s="48">
        <f>VLOOKUP($A64,'Página31'!$A$1:$V$27,COLUMN(),TRUE)</f>
        <v>9594.2</v>
      </c>
      <c r="Q64" s="48" t="str">
        <f>VLOOKUP($A64,'Página31'!$A$1:$V$27,COLUMN(),TRUE)</f>
        <v/>
      </c>
      <c r="R64" s="48">
        <f>VLOOKUP($A64,'Página31'!$A$1:$V$27,COLUMN(),TRUE)</f>
        <v>27303.62</v>
      </c>
      <c r="S64" s="48" t="str">
        <f>VLOOKUP($A64,'Página31'!$A$1:$V$27,COLUMN(),TRUE)</f>
        <v/>
      </c>
      <c r="T64" s="73">
        <f t="shared" si="5"/>
        <v>2021</v>
      </c>
      <c r="U64" s="73">
        <f t="shared" si="6"/>
        <v>3</v>
      </c>
    </row>
    <row r="65">
      <c r="A65" s="34">
        <v>44287.0</v>
      </c>
      <c r="B65" s="48">
        <f t="shared" si="1"/>
        <v>15869.23</v>
      </c>
      <c r="C65" s="48">
        <f>ROUND(IF(MONTH($A65)=12,2.333,1)*VLOOKUP($A65,'Página31'!$A$1:$V$27,COLUMN(),TRUE),2)</f>
        <v>28810.18</v>
      </c>
      <c r="D65" s="48">
        <f t="shared" si="2"/>
        <v>27303.7</v>
      </c>
      <c r="E65" s="48">
        <f>ROUND(IF(MONTH($A65)=12,2.333,1)*VLOOKUP($A65,'Página31'!$A$1:$V$27,COLUMN(),TRUE),2)</f>
        <v>28810.18</v>
      </c>
      <c r="F65" s="48">
        <f>ROUND(IF(MONTH($A65)=12,2.333,1)*VLOOKUP($A65,'Página31'!$A$1:$V$27,COLUMN(),TRUE),2)</f>
        <v>0</v>
      </c>
      <c r="G65" s="48">
        <f t="shared" si="3"/>
        <v>9594.2</v>
      </c>
      <c r="H65" s="48">
        <f>ROUND(IF(MONTH($A65)=12,2.333,1)*VLOOKUP($A65,'Página31'!$A$1:$V$27,COLUMN(),TRUE),2)</f>
        <v>24375.63</v>
      </c>
      <c r="I65" s="48">
        <f t="shared" si="4"/>
        <v>27303.62</v>
      </c>
      <c r="J65" s="48">
        <f>ROUND(IF(MONTH($A65)=12,2.333,1)*VLOOKUP($A65,'Página31'!$A$1:$V$27,COLUMN(),TRUE),2)</f>
        <v>19551.18</v>
      </c>
      <c r="K65" s="48">
        <f>ROUND(IF(MONTH($A65)=12,2.333,1)*VLOOKUP($A65,'Página31'!$A$1:$V$27,COLUMN(),TRUE),2)</f>
        <v>18478.41</v>
      </c>
      <c r="L65" s="48" t="str">
        <f>VLOOKUP($A65,'Página31'!$A$1:$V$27,COLUMN(),TRUE)</f>
        <v/>
      </c>
      <c r="M65" s="48">
        <f>VLOOKUP($A65,'Página31'!$A$1:$V$27,COLUMN(),TRUE)</f>
        <v>17632.46925</v>
      </c>
      <c r="N65" s="48">
        <f>VLOOKUP($A65,'Página31'!$A$1:$V$27,COLUMN(),TRUE)</f>
        <v>27303.7</v>
      </c>
      <c r="O65" s="48" t="str">
        <f>VLOOKUP($A65,'Página31'!$A$1:$V$27,COLUMN(),TRUE)</f>
        <v/>
      </c>
      <c r="P65" s="48">
        <f>VLOOKUP($A65,'Página31'!$A$1:$V$27,COLUMN(),TRUE)</f>
        <v>9594.2</v>
      </c>
      <c r="Q65" s="48" t="str">
        <f>VLOOKUP($A65,'Página31'!$A$1:$V$27,COLUMN(),TRUE)</f>
        <v/>
      </c>
      <c r="R65" s="48">
        <f>VLOOKUP($A65,'Página31'!$A$1:$V$27,COLUMN(),TRUE)</f>
        <v>27303.62</v>
      </c>
      <c r="S65" s="48" t="str">
        <f>VLOOKUP($A65,'Página31'!$A$1:$V$27,COLUMN(),TRUE)</f>
        <v/>
      </c>
      <c r="T65" s="73">
        <f t="shared" si="5"/>
        <v>2021</v>
      </c>
      <c r="U65" s="73">
        <f t="shared" si="6"/>
        <v>4</v>
      </c>
    </row>
    <row r="66">
      <c r="A66" s="34">
        <v>44317.0</v>
      </c>
      <c r="B66" s="48">
        <f t="shared" si="1"/>
        <v>15869.23</v>
      </c>
      <c r="C66" s="48">
        <f>ROUND(IF(MONTH($A66)=12,2.333,1)*VLOOKUP($A66,'Página31'!$A$1:$V$27,COLUMN(),TRUE),2)</f>
        <v>28810.18</v>
      </c>
      <c r="D66" s="48">
        <f t="shared" si="2"/>
        <v>27303.7</v>
      </c>
      <c r="E66" s="48">
        <f>ROUND(IF(MONTH($A66)=12,2.333,1)*VLOOKUP($A66,'Página31'!$A$1:$V$27,COLUMN(),TRUE),2)</f>
        <v>28810.18</v>
      </c>
      <c r="F66" s="48">
        <f>ROUND(IF(MONTH($A66)=12,2.333,1)*VLOOKUP($A66,'Página31'!$A$1:$V$27,COLUMN(),TRUE),2)</f>
        <v>0</v>
      </c>
      <c r="G66" s="48">
        <f t="shared" si="3"/>
        <v>9594.2</v>
      </c>
      <c r="H66" s="48">
        <f>ROUND(IF(MONTH($A66)=12,2.333,1)*VLOOKUP($A66,'Página31'!$A$1:$V$27,COLUMN(),TRUE),2)</f>
        <v>24375.63</v>
      </c>
      <c r="I66" s="48">
        <f t="shared" si="4"/>
        <v>27303.62</v>
      </c>
      <c r="J66" s="48">
        <f>ROUND(IF(MONTH($A66)=12,2.333,1)*VLOOKUP($A66,'Página31'!$A$1:$V$27,COLUMN(),TRUE),2)</f>
        <v>19551.18</v>
      </c>
      <c r="K66" s="48">
        <f>ROUND(IF(MONTH($A66)=12,2.333,1)*VLOOKUP($A66,'Página31'!$A$1:$V$27,COLUMN(),TRUE),2)</f>
        <v>18478.41</v>
      </c>
      <c r="L66" s="48" t="str">
        <f>VLOOKUP($A66,'Página31'!$A$1:$V$27,COLUMN(),TRUE)</f>
        <v/>
      </c>
      <c r="M66" s="48">
        <f>VLOOKUP($A66,'Página31'!$A$1:$V$27,COLUMN(),TRUE)</f>
        <v>17632.46925</v>
      </c>
      <c r="N66" s="48">
        <f>VLOOKUP($A66,'Página31'!$A$1:$V$27,COLUMN(),TRUE)</f>
        <v>27303.7</v>
      </c>
      <c r="O66" s="48" t="str">
        <f>VLOOKUP($A66,'Página31'!$A$1:$V$27,COLUMN(),TRUE)</f>
        <v/>
      </c>
      <c r="P66" s="48">
        <f>VLOOKUP($A66,'Página31'!$A$1:$V$27,COLUMN(),TRUE)</f>
        <v>9594.2</v>
      </c>
      <c r="Q66" s="48" t="str">
        <f>VLOOKUP($A66,'Página31'!$A$1:$V$27,COLUMN(),TRUE)</f>
        <v/>
      </c>
      <c r="R66" s="48">
        <f>VLOOKUP($A66,'Página31'!$A$1:$V$27,COLUMN(),TRUE)</f>
        <v>27303.62</v>
      </c>
      <c r="S66" s="48" t="str">
        <f>VLOOKUP($A66,'Página31'!$A$1:$V$27,COLUMN(),TRUE)</f>
        <v/>
      </c>
      <c r="T66" s="73">
        <f t="shared" si="5"/>
        <v>2021</v>
      </c>
      <c r="U66" s="73">
        <f t="shared" si="6"/>
        <v>5</v>
      </c>
    </row>
    <row r="67">
      <c r="A67" s="34">
        <v>44348.0</v>
      </c>
      <c r="B67" s="48">
        <f t="shared" si="1"/>
        <v>15869.23</v>
      </c>
      <c r="C67" s="48">
        <f>ROUND(IF(MONTH($A67)=12,2.333,1)*VLOOKUP($A67,'Página31'!$A$1:$V$27,COLUMN(),TRUE),2)</f>
        <v>28810.18</v>
      </c>
      <c r="D67" s="48">
        <f t="shared" si="2"/>
        <v>27303.7</v>
      </c>
      <c r="E67" s="48">
        <f>ROUND(IF(MONTH($A67)=12,2.333,1)*VLOOKUP($A67,'Página31'!$A$1:$V$27,COLUMN(),TRUE),2)</f>
        <v>28810.18</v>
      </c>
      <c r="F67" s="48">
        <f>ROUND(IF(MONTH($A67)=12,2.333,1)*VLOOKUP($A67,'Página31'!$A$1:$V$27,COLUMN(),TRUE),2)</f>
        <v>0</v>
      </c>
      <c r="G67" s="48">
        <f t="shared" si="3"/>
        <v>9594.2</v>
      </c>
      <c r="H67" s="48">
        <f>ROUND(IF(MONTH($A67)=12,2.333,1)*VLOOKUP($A67,'Página31'!$A$1:$V$27,COLUMN(),TRUE),2)</f>
        <v>24375.63</v>
      </c>
      <c r="I67" s="48">
        <f t="shared" si="4"/>
        <v>27303.62</v>
      </c>
      <c r="J67" s="48">
        <f>ROUND(IF(MONTH($A67)=12,2.333,1)*VLOOKUP($A67,'Página31'!$A$1:$V$27,COLUMN(),TRUE),2)</f>
        <v>19551.18</v>
      </c>
      <c r="K67" s="48">
        <f>ROUND(IF(MONTH($A67)=12,2.333,1)*VLOOKUP($A67,'Página31'!$A$1:$V$27,COLUMN(),TRUE),2)</f>
        <v>18478.41</v>
      </c>
      <c r="L67" s="48" t="str">
        <f>VLOOKUP($A67,'Página31'!$A$1:$V$27,COLUMN(),TRUE)</f>
        <v/>
      </c>
      <c r="M67" s="48">
        <f>VLOOKUP($A67,'Página31'!$A$1:$V$27,COLUMN(),TRUE)</f>
        <v>17632.46925</v>
      </c>
      <c r="N67" s="48">
        <f>VLOOKUP($A67,'Página31'!$A$1:$V$27,COLUMN(),TRUE)</f>
        <v>27303.7</v>
      </c>
      <c r="O67" s="48" t="str">
        <f>VLOOKUP($A67,'Página31'!$A$1:$V$27,COLUMN(),TRUE)</f>
        <v/>
      </c>
      <c r="P67" s="48">
        <f>VLOOKUP($A67,'Página31'!$A$1:$V$27,COLUMN(),TRUE)</f>
        <v>9594.2</v>
      </c>
      <c r="Q67" s="48" t="str">
        <f>VLOOKUP($A67,'Página31'!$A$1:$V$27,COLUMN(),TRUE)</f>
        <v/>
      </c>
      <c r="R67" s="48">
        <f>VLOOKUP($A67,'Página31'!$A$1:$V$27,COLUMN(),TRUE)</f>
        <v>27303.62</v>
      </c>
      <c r="S67" s="48" t="str">
        <f>VLOOKUP($A67,'Página31'!$A$1:$V$27,COLUMN(),TRUE)</f>
        <v/>
      </c>
      <c r="T67" s="73">
        <f t="shared" si="5"/>
        <v>2021</v>
      </c>
      <c r="U67" s="73">
        <f t="shared" si="6"/>
        <v>6</v>
      </c>
    </row>
    <row r="68">
      <c r="A68" s="34">
        <v>44378.0</v>
      </c>
      <c r="B68" s="48">
        <f t="shared" si="1"/>
        <v>15869.23</v>
      </c>
      <c r="C68" s="48">
        <f>ROUND(IF(MONTH($A68)=12,2.333,1)*VLOOKUP($A68,'Página31'!$A$1:$V$27,COLUMN(),TRUE),2)</f>
        <v>28810.18</v>
      </c>
      <c r="D68" s="48">
        <f t="shared" si="2"/>
        <v>27303.7</v>
      </c>
      <c r="E68" s="48">
        <f>ROUND(IF(MONTH($A68)=12,2.333,1)*VLOOKUP($A68,'Página31'!$A$1:$V$27,COLUMN(),TRUE),2)</f>
        <v>28810.18</v>
      </c>
      <c r="F68" s="48">
        <f>ROUND(IF(MONTH($A68)=12,2.333,1)*VLOOKUP($A68,'Página31'!$A$1:$V$27,COLUMN(),TRUE),2)</f>
        <v>0</v>
      </c>
      <c r="G68" s="48">
        <f t="shared" si="3"/>
        <v>9594.2</v>
      </c>
      <c r="H68" s="48">
        <f>ROUND(IF(MONTH($A68)=12,2.333,1)*VLOOKUP($A68,'Página31'!$A$1:$V$27,COLUMN(),TRUE),2)</f>
        <v>24375.63</v>
      </c>
      <c r="I68" s="48">
        <f t="shared" si="4"/>
        <v>27303.62</v>
      </c>
      <c r="J68" s="48">
        <f>ROUND(IF(MONTH($A68)=12,2.333,1)*VLOOKUP($A68,'Página31'!$A$1:$V$27,COLUMN(),TRUE),2)</f>
        <v>19551.18</v>
      </c>
      <c r="K68" s="48">
        <f>ROUND(IF(MONTH($A68)=12,2.333,1)*VLOOKUP($A68,'Página31'!$A$1:$V$27,COLUMN(),TRUE),2)</f>
        <v>18478.41</v>
      </c>
      <c r="L68" s="48" t="str">
        <f>VLOOKUP($A68,'Página31'!$A$1:$V$27,COLUMN(),TRUE)</f>
        <v/>
      </c>
      <c r="M68" s="48">
        <f>VLOOKUP($A68,'Página31'!$A$1:$V$27,COLUMN(),TRUE)</f>
        <v>17632.46925</v>
      </c>
      <c r="N68" s="48">
        <f>VLOOKUP($A68,'Página31'!$A$1:$V$27,COLUMN(),TRUE)</f>
        <v>27303.7</v>
      </c>
      <c r="O68" s="48" t="str">
        <f>VLOOKUP($A68,'Página31'!$A$1:$V$27,COLUMN(),TRUE)</f>
        <v/>
      </c>
      <c r="P68" s="48">
        <f>VLOOKUP($A68,'Página31'!$A$1:$V$27,COLUMN(),TRUE)</f>
        <v>9594.2</v>
      </c>
      <c r="Q68" s="48" t="str">
        <f>VLOOKUP($A68,'Página31'!$A$1:$V$27,COLUMN(),TRUE)</f>
        <v/>
      </c>
      <c r="R68" s="48">
        <f>VLOOKUP($A68,'Página31'!$A$1:$V$27,COLUMN(),TRUE)</f>
        <v>27303.62</v>
      </c>
      <c r="S68" s="48" t="str">
        <f>VLOOKUP($A68,'Página31'!$A$1:$V$27,COLUMN(),TRUE)</f>
        <v/>
      </c>
      <c r="T68" s="73">
        <f t="shared" si="5"/>
        <v>2021</v>
      </c>
      <c r="U68" s="73">
        <f t="shared" si="6"/>
        <v>7</v>
      </c>
    </row>
    <row r="69">
      <c r="A69" s="34">
        <v>44409.0</v>
      </c>
      <c r="B69" s="48">
        <f t="shared" si="1"/>
        <v>15869.23</v>
      </c>
      <c r="C69" s="48">
        <f>ROUND(IF(MONTH($A69)=12,2.333,1)*VLOOKUP($A69,'Página31'!$A$1:$V$27,COLUMN(),TRUE),2)</f>
        <v>28810.18</v>
      </c>
      <c r="D69" s="48">
        <f t="shared" si="2"/>
        <v>27303.7</v>
      </c>
      <c r="E69" s="48">
        <f>ROUND(IF(MONTH($A69)=12,2.333,1)*VLOOKUP($A69,'Página31'!$A$1:$V$27,COLUMN(),TRUE),2)</f>
        <v>28810.18</v>
      </c>
      <c r="F69" s="48">
        <f>ROUND(IF(MONTH($A69)=12,2.333,1)*VLOOKUP($A69,'Página31'!$A$1:$V$27,COLUMN(),TRUE),2)</f>
        <v>0</v>
      </c>
      <c r="G69" s="48">
        <f t="shared" si="3"/>
        <v>9594.2</v>
      </c>
      <c r="H69" s="48">
        <f>ROUND(IF(MONTH($A69)=12,2.333,1)*VLOOKUP($A69,'Página31'!$A$1:$V$27,COLUMN(),TRUE),2)</f>
        <v>24375.63</v>
      </c>
      <c r="I69" s="48">
        <f t="shared" si="4"/>
        <v>27303.62</v>
      </c>
      <c r="J69" s="48">
        <f>ROUND(IF(MONTH($A69)=12,2.333,1)*VLOOKUP($A69,'Página31'!$A$1:$V$27,COLUMN(),TRUE),2)</f>
        <v>19551.18</v>
      </c>
      <c r="K69" s="48">
        <f>ROUND(IF(MONTH($A69)=12,2.333,1)*VLOOKUP($A69,'Página31'!$A$1:$V$27,COLUMN(),TRUE),2)</f>
        <v>18478.41</v>
      </c>
      <c r="L69" s="48" t="str">
        <f>VLOOKUP($A69,'Página31'!$A$1:$V$27,COLUMN(),TRUE)</f>
        <v/>
      </c>
      <c r="M69" s="48">
        <f>VLOOKUP($A69,'Página31'!$A$1:$V$27,COLUMN(),TRUE)</f>
        <v>17632.46925</v>
      </c>
      <c r="N69" s="48">
        <f>VLOOKUP($A69,'Página31'!$A$1:$V$27,COLUMN(),TRUE)</f>
        <v>27303.7</v>
      </c>
      <c r="O69" s="48" t="str">
        <f>VLOOKUP($A69,'Página31'!$A$1:$V$27,COLUMN(),TRUE)</f>
        <v/>
      </c>
      <c r="P69" s="48">
        <f>VLOOKUP($A69,'Página31'!$A$1:$V$27,COLUMN(),TRUE)</f>
        <v>9594.2</v>
      </c>
      <c r="Q69" s="48" t="str">
        <f>VLOOKUP($A69,'Página31'!$A$1:$V$27,COLUMN(),TRUE)</f>
        <v/>
      </c>
      <c r="R69" s="48">
        <f>VLOOKUP($A69,'Página31'!$A$1:$V$27,COLUMN(),TRUE)</f>
        <v>27303.62</v>
      </c>
      <c r="S69" s="48" t="str">
        <f>VLOOKUP($A69,'Página31'!$A$1:$V$27,COLUMN(),TRUE)</f>
        <v/>
      </c>
      <c r="T69" s="73">
        <f t="shared" si="5"/>
        <v>2021</v>
      </c>
      <c r="U69" s="73">
        <f t="shared" si="6"/>
        <v>8</v>
      </c>
    </row>
    <row r="70">
      <c r="A70" s="34">
        <v>44440.0</v>
      </c>
      <c r="B70" s="48">
        <f t="shared" si="1"/>
        <v>15869.23</v>
      </c>
      <c r="C70" s="48">
        <f>ROUND(IF(MONTH($A70)=12,2.333,1)*VLOOKUP($A70,'Página31'!$A$1:$V$27,COLUMN(),TRUE),2)</f>
        <v>28810.18</v>
      </c>
      <c r="D70" s="48">
        <f t="shared" si="2"/>
        <v>27303.7</v>
      </c>
      <c r="E70" s="48">
        <f>ROUND(IF(MONTH($A70)=12,2.333,1)*VLOOKUP($A70,'Página31'!$A$1:$V$27,COLUMN(),TRUE),2)</f>
        <v>28810.18</v>
      </c>
      <c r="F70" s="48">
        <f>ROUND(IF(MONTH($A70)=12,2.333,1)*VLOOKUP($A70,'Página31'!$A$1:$V$27,COLUMN(),TRUE),2)</f>
        <v>0</v>
      </c>
      <c r="G70" s="48">
        <f t="shared" si="3"/>
        <v>9594.2</v>
      </c>
      <c r="H70" s="48">
        <f>ROUND(IF(MONTH($A70)=12,2.333,1)*VLOOKUP($A70,'Página31'!$A$1:$V$27,COLUMN(),TRUE),2)</f>
        <v>24375.63</v>
      </c>
      <c r="I70" s="48">
        <f t="shared" si="4"/>
        <v>27303.62</v>
      </c>
      <c r="J70" s="48">
        <f>ROUND(IF(MONTH($A70)=12,2.333,1)*VLOOKUP($A70,'Página31'!$A$1:$V$27,COLUMN(),TRUE),2)</f>
        <v>19551.18</v>
      </c>
      <c r="K70" s="48">
        <f>ROUND(IF(MONTH($A70)=12,2.333,1)*VLOOKUP($A70,'Página31'!$A$1:$V$27,COLUMN(),TRUE),2)</f>
        <v>18478.41</v>
      </c>
      <c r="L70" s="48" t="str">
        <f>VLOOKUP($A70,'Página31'!$A$1:$V$27,COLUMN(),TRUE)</f>
        <v/>
      </c>
      <c r="M70" s="48">
        <f>VLOOKUP($A70,'Página31'!$A$1:$V$27,COLUMN(),TRUE)</f>
        <v>17632.46925</v>
      </c>
      <c r="N70" s="48">
        <f>VLOOKUP($A70,'Página31'!$A$1:$V$27,COLUMN(),TRUE)</f>
        <v>27303.7</v>
      </c>
      <c r="O70" s="48" t="str">
        <f>VLOOKUP($A70,'Página31'!$A$1:$V$27,COLUMN(),TRUE)</f>
        <v/>
      </c>
      <c r="P70" s="48">
        <f>VLOOKUP($A70,'Página31'!$A$1:$V$27,COLUMN(),TRUE)</f>
        <v>9594.2</v>
      </c>
      <c r="Q70" s="48" t="str">
        <f>VLOOKUP($A70,'Página31'!$A$1:$V$27,COLUMN(),TRUE)</f>
        <v/>
      </c>
      <c r="R70" s="48">
        <f>VLOOKUP($A70,'Página31'!$A$1:$V$27,COLUMN(),TRUE)</f>
        <v>27303.62</v>
      </c>
      <c r="S70" s="48" t="str">
        <f>VLOOKUP($A70,'Página31'!$A$1:$V$27,COLUMN(),TRUE)</f>
        <v/>
      </c>
      <c r="T70" s="73">
        <f t="shared" si="5"/>
        <v>2021</v>
      </c>
      <c r="U70" s="73">
        <f t="shared" si="6"/>
        <v>9</v>
      </c>
    </row>
    <row r="71">
      <c r="A71" s="34">
        <v>44470.0</v>
      </c>
      <c r="B71" s="48">
        <f t="shared" si="1"/>
        <v>15869.23</v>
      </c>
      <c r="C71" s="48">
        <f>ROUND(IF(MONTH($A71)=12,2.333,1)*VLOOKUP($A71,'Página31'!$A$1:$V$27,COLUMN(),TRUE),2)</f>
        <v>28810.18</v>
      </c>
      <c r="D71" s="48">
        <f t="shared" si="2"/>
        <v>27303.7</v>
      </c>
      <c r="E71" s="48">
        <f>ROUND(IF(MONTH($A71)=12,2.333,1)*VLOOKUP($A71,'Página31'!$A$1:$V$27,COLUMN(),TRUE),2)</f>
        <v>28810.18</v>
      </c>
      <c r="F71" s="48">
        <f>ROUND(IF(MONTH($A71)=12,2.333,1)*VLOOKUP($A71,'Página31'!$A$1:$V$27,COLUMN(),TRUE),2)</f>
        <v>0</v>
      </c>
      <c r="G71" s="48">
        <f t="shared" si="3"/>
        <v>9594.2</v>
      </c>
      <c r="H71" s="48">
        <f>ROUND(IF(MONTH($A71)=12,2.333,1)*VLOOKUP($A71,'Página31'!$A$1:$V$27,COLUMN(),TRUE),2)</f>
        <v>24375.63</v>
      </c>
      <c r="I71" s="48">
        <f t="shared" si="4"/>
        <v>27303.62</v>
      </c>
      <c r="J71" s="48">
        <f>ROUND(IF(MONTH($A71)=12,2.333,1)*VLOOKUP($A71,'Página31'!$A$1:$V$27,COLUMN(),TRUE),2)</f>
        <v>19551.18</v>
      </c>
      <c r="K71" s="48">
        <f>ROUND(IF(MONTH($A71)=12,2.333,1)*VLOOKUP($A71,'Página31'!$A$1:$V$27,COLUMN(),TRUE),2)</f>
        <v>18478.41</v>
      </c>
      <c r="L71" s="48" t="str">
        <f>VLOOKUP($A71,'Página31'!$A$1:$V$27,COLUMN(),TRUE)</f>
        <v/>
      </c>
      <c r="M71" s="48">
        <f>VLOOKUP($A71,'Página31'!$A$1:$V$27,COLUMN(),TRUE)</f>
        <v>17632.46925</v>
      </c>
      <c r="N71" s="48">
        <f>VLOOKUP($A71,'Página31'!$A$1:$V$27,COLUMN(),TRUE)</f>
        <v>27303.7</v>
      </c>
      <c r="O71" s="48" t="str">
        <f>VLOOKUP($A71,'Página31'!$A$1:$V$27,COLUMN(),TRUE)</f>
        <v/>
      </c>
      <c r="P71" s="48">
        <f>VLOOKUP($A71,'Página31'!$A$1:$V$27,COLUMN(),TRUE)</f>
        <v>9594.2</v>
      </c>
      <c r="Q71" s="48" t="str">
        <f>VLOOKUP($A71,'Página31'!$A$1:$V$27,COLUMN(),TRUE)</f>
        <v/>
      </c>
      <c r="R71" s="48">
        <f>VLOOKUP($A71,'Página31'!$A$1:$V$27,COLUMN(),TRUE)</f>
        <v>27303.62</v>
      </c>
      <c r="S71" s="48" t="str">
        <f>VLOOKUP($A71,'Página31'!$A$1:$V$27,COLUMN(),TRUE)</f>
        <v/>
      </c>
      <c r="T71" s="73">
        <f t="shared" si="5"/>
        <v>2021</v>
      </c>
      <c r="U71" s="73">
        <f t="shared" si="6"/>
        <v>10</v>
      </c>
    </row>
    <row r="72">
      <c r="A72" s="34">
        <v>44501.0</v>
      </c>
      <c r="B72" s="48">
        <f t="shared" si="1"/>
        <v>15869.23</v>
      </c>
      <c r="C72" s="48">
        <f>ROUND(IF(MONTH($A72)=12,2.333,1)*VLOOKUP($A72,'Página31'!$A$1:$V$27,COLUMN(),TRUE),2)</f>
        <v>28810.18</v>
      </c>
      <c r="D72" s="48">
        <f t="shared" si="2"/>
        <v>27303.7</v>
      </c>
      <c r="E72" s="48">
        <f>ROUND(IF(MONTH($A72)=12,2.333,1)*VLOOKUP($A72,'Página31'!$A$1:$V$27,COLUMN(),TRUE),2)</f>
        <v>28810.18</v>
      </c>
      <c r="F72" s="48">
        <f>ROUND(IF(MONTH($A72)=12,2.333,1)*VLOOKUP($A72,'Página31'!$A$1:$V$27,COLUMN(),TRUE),2)</f>
        <v>0</v>
      </c>
      <c r="G72" s="48">
        <f t="shared" si="3"/>
        <v>9594.2</v>
      </c>
      <c r="H72" s="48">
        <f>ROUND(IF(MONTH($A72)=12,2.333,1)*VLOOKUP($A72,'Página31'!$A$1:$V$27,COLUMN(),TRUE),2)</f>
        <v>24375.63</v>
      </c>
      <c r="I72" s="48">
        <f t="shared" si="4"/>
        <v>27303.62</v>
      </c>
      <c r="J72" s="48">
        <f>ROUND(IF(MONTH($A72)=12,2.333,1)*VLOOKUP($A72,'Página31'!$A$1:$V$27,COLUMN(),TRUE),2)</f>
        <v>19551.18</v>
      </c>
      <c r="K72" s="48">
        <f>ROUND(IF(MONTH($A72)=12,2.333,1)*VLOOKUP($A72,'Página31'!$A$1:$V$27,COLUMN(),TRUE),2)</f>
        <v>18478.41</v>
      </c>
      <c r="L72" s="48" t="str">
        <f>VLOOKUP($A72,'Página31'!$A$1:$V$27,COLUMN(),TRUE)</f>
        <v/>
      </c>
      <c r="M72" s="48">
        <f>VLOOKUP($A72,'Página31'!$A$1:$V$27,COLUMN(),TRUE)</f>
        <v>17632.46925</v>
      </c>
      <c r="N72" s="48">
        <f>VLOOKUP($A72,'Página31'!$A$1:$V$27,COLUMN(),TRUE)</f>
        <v>27303.7</v>
      </c>
      <c r="O72" s="48" t="str">
        <f>VLOOKUP($A72,'Página31'!$A$1:$V$27,COLUMN(),TRUE)</f>
        <v/>
      </c>
      <c r="P72" s="48">
        <f>VLOOKUP($A72,'Página31'!$A$1:$V$27,COLUMN(),TRUE)</f>
        <v>9594.2</v>
      </c>
      <c r="Q72" s="48" t="str">
        <f>VLOOKUP($A72,'Página31'!$A$1:$V$27,COLUMN(),TRUE)</f>
        <v/>
      </c>
      <c r="R72" s="48">
        <f>VLOOKUP($A72,'Página31'!$A$1:$V$27,COLUMN(),TRUE)</f>
        <v>27303.62</v>
      </c>
      <c r="S72" s="48" t="str">
        <f>VLOOKUP($A72,'Página31'!$A$1:$V$27,COLUMN(),TRUE)</f>
        <v/>
      </c>
      <c r="T72" s="73">
        <f t="shared" si="5"/>
        <v>2021</v>
      </c>
      <c r="U72" s="73">
        <f t="shared" si="6"/>
        <v>11</v>
      </c>
    </row>
    <row r="73">
      <c r="A73" s="34">
        <v>44531.0</v>
      </c>
      <c r="B73" s="48">
        <f t="shared" si="1"/>
        <v>37022.91</v>
      </c>
      <c r="C73" s="48">
        <f>ROUND(IF(MONTH($A73)=12,2.333,1)*VLOOKUP($A73,'Página31'!$A$1:$V$27,COLUMN(),TRUE),2)</f>
        <v>67214.15</v>
      </c>
      <c r="D73" s="48">
        <f t="shared" si="2"/>
        <v>63699.53</v>
      </c>
      <c r="E73" s="48">
        <f>ROUND(IF(MONTH($A73)=12,2.333,1)*VLOOKUP($A73,'Página31'!$A$1:$V$27,COLUMN(),TRUE),2)</f>
        <v>67214.15</v>
      </c>
      <c r="F73" s="48">
        <f>ROUND(IF(MONTH($A73)=12,2.333,1)*VLOOKUP($A73,'Página31'!$A$1:$V$27,COLUMN(),TRUE),2)</f>
        <v>0</v>
      </c>
      <c r="G73" s="48">
        <f t="shared" si="3"/>
        <v>22383.27</v>
      </c>
      <c r="H73" s="48">
        <f>ROUND(IF(MONTH($A73)=12,2.333,1)*VLOOKUP($A73,'Página31'!$A$1:$V$27,COLUMN(),TRUE),2)</f>
        <v>56868.33</v>
      </c>
      <c r="I73" s="48">
        <f t="shared" si="4"/>
        <v>63699.35</v>
      </c>
      <c r="J73" s="48">
        <f>ROUND(IF(MONTH($A73)=12,2.333,1)*VLOOKUP($A73,'Página31'!$A$1:$V$27,COLUMN(),TRUE),2)</f>
        <v>45612.91</v>
      </c>
      <c r="K73" s="48">
        <f>ROUND(IF(MONTH($A73)=12,2.333,1)*VLOOKUP($A73,'Página31'!$A$1:$V$27,COLUMN(),TRUE),2)</f>
        <v>43110.12</v>
      </c>
      <c r="L73" s="48" t="str">
        <f>VLOOKUP($A73,'Página31'!$A$1:$V$27,COLUMN(),TRUE)</f>
        <v/>
      </c>
      <c r="M73" s="48">
        <f>VLOOKUP($A73,'Página31'!$A$1:$V$27,COLUMN(),TRUE)</f>
        <v>17632.46925</v>
      </c>
      <c r="N73" s="48">
        <f>VLOOKUP($A73,'Página31'!$A$1:$V$27,COLUMN(),TRUE)</f>
        <v>27303.7</v>
      </c>
      <c r="O73" s="48" t="str">
        <f>VLOOKUP($A73,'Página31'!$A$1:$V$27,COLUMN(),TRUE)</f>
        <v/>
      </c>
      <c r="P73" s="48">
        <f>VLOOKUP($A73,'Página31'!$A$1:$V$27,COLUMN(),TRUE)</f>
        <v>9594.2</v>
      </c>
      <c r="Q73" s="48" t="str">
        <f>VLOOKUP($A73,'Página31'!$A$1:$V$27,COLUMN(),TRUE)</f>
        <v/>
      </c>
      <c r="R73" s="48">
        <f>VLOOKUP($A73,'Página31'!$A$1:$V$27,COLUMN(),TRUE)</f>
        <v>27303.62</v>
      </c>
      <c r="S73" s="48" t="str">
        <f>VLOOKUP($A73,'Página31'!$A$1:$V$27,COLUMN(),TRUE)</f>
        <v/>
      </c>
      <c r="T73" s="73">
        <f t="shared" si="5"/>
        <v>2021</v>
      </c>
      <c r="U73" s="73">
        <f t="shared" si="6"/>
        <v>12</v>
      </c>
    </row>
    <row r="74">
      <c r="A74" s="34">
        <v>44562.0</v>
      </c>
      <c r="B74" s="48">
        <f t="shared" ref="B74:B145" si="7">ROUND(IF(MONTH($A74)=12,2.333,1)*(L74+ROUND((M74/13.33333)*13,2)),2)</f>
        <v>17260.04</v>
      </c>
      <c r="C74" s="48">
        <f>ROUND(IF(MONTH($A74)=12,2.333,1)*VLOOKUP($A74,'Página31'!$A$1:$V$27,COLUMN(),TRUE),2)</f>
        <v>28810.18</v>
      </c>
      <c r="D74" s="48">
        <f t="shared" si="2"/>
        <v>27303.7</v>
      </c>
      <c r="E74" s="48">
        <f>ROUND(IF(MONTH($A74)=12,2.333,1)*VLOOKUP($A74,'Página31'!$A$1:$V$27,COLUMN(),TRUE),2)</f>
        <v>28810.18</v>
      </c>
      <c r="F74" s="48">
        <f>ROUND(IF(MONTH($A74)=12,2.333,1)*VLOOKUP($A74,'Página31'!$A$1:$V$27,COLUMN(),TRUE),2)</f>
        <v>0</v>
      </c>
      <c r="G74" s="48">
        <f t="shared" ref="G74:G145" si="8">ROUND(IF(MONTH($A74)=12,2.333,1)*(P74+ROUND((Q74/13.33333)*13,2)),2)</f>
        <v>11826.61</v>
      </c>
      <c r="H74" s="48">
        <f>ROUND(IF(MONTH($A74)=12,2.333,1)*VLOOKUP($A74,'Página31'!$A$1:$V$27,COLUMN(),TRUE),2)</f>
        <v>26023.8</v>
      </c>
      <c r="I74" s="48">
        <f t="shared" si="4"/>
        <v>27303.62</v>
      </c>
      <c r="J74" s="48">
        <f>ROUND(IF(MONTH($A74)=12,2.333,1)*VLOOKUP($A74,'Página31'!$A$1:$V$27,COLUMN(),TRUE),2)</f>
        <v>19621.31</v>
      </c>
      <c r="K74" s="48">
        <f>ROUND(IF(MONTH($A74)=12,2.333,1)*VLOOKUP($A74,'Página31'!$A$1:$V$27,COLUMN(),TRUE),2)</f>
        <v>18548.53</v>
      </c>
      <c r="L74" s="48" t="str">
        <f>VLOOKUP($A74,'Página31'!$A$1:$V$27,COLUMN(),TRUE)</f>
        <v/>
      </c>
      <c r="M74" s="48">
        <f>VLOOKUP($A74,'Página31'!$A$1:$V$27,COLUMN(),TRUE)</f>
        <v>17702.5985</v>
      </c>
      <c r="N74" s="48">
        <f>VLOOKUP($A74,'Página31'!$A$1:$V$27,COLUMN(),TRUE)</f>
        <v>27303.7</v>
      </c>
      <c r="O74" s="48" t="str">
        <f>VLOOKUP($A74,'Página31'!$A$1:$V$27,COLUMN(),TRUE)</f>
        <v/>
      </c>
      <c r="P74" s="48">
        <f>VLOOKUP($A74,'Página31'!$A$1:$V$27,COLUMN(),TRUE)</f>
        <v>11826.61</v>
      </c>
      <c r="Q74" s="48" t="str">
        <f>VLOOKUP($A74,'Página31'!$A$1:$V$27,COLUMN(),TRUE)</f>
        <v/>
      </c>
      <c r="R74" s="48">
        <f>VLOOKUP($A74,'Página31'!$A$1:$V$27,COLUMN(),TRUE)</f>
        <v>27303.62</v>
      </c>
      <c r="S74" s="48" t="str">
        <f>VLOOKUP($A74,'Página31'!$A$1:$V$27,COLUMN(),TRUE)</f>
        <v/>
      </c>
      <c r="T74" s="73">
        <f t="shared" si="5"/>
        <v>2022</v>
      </c>
      <c r="U74" s="73">
        <f t="shared" si="6"/>
        <v>1</v>
      </c>
    </row>
    <row r="75">
      <c r="A75" s="34">
        <v>44593.0</v>
      </c>
      <c r="B75" s="48">
        <f t="shared" si="7"/>
        <v>17260.04</v>
      </c>
      <c r="C75" s="48">
        <f>ROUND(IF(MONTH($A75)=12,2.333,1)*VLOOKUP($A75,'Página31'!$A$1:$V$27,COLUMN(),TRUE),2)</f>
        <v>28810.18</v>
      </c>
      <c r="D75" s="48">
        <f t="shared" si="2"/>
        <v>27303.7</v>
      </c>
      <c r="E75" s="48">
        <f>ROUND(IF(MONTH($A75)=12,2.333,1)*VLOOKUP($A75,'Página31'!$A$1:$V$27,COLUMN(),TRUE),2)</f>
        <v>28810.18</v>
      </c>
      <c r="F75" s="48">
        <f>ROUND(IF(MONTH($A75)=12,2.333,1)*VLOOKUP($A75,'Página31'!$A$1:$V$27,COLUMN(),TRUE),2)</f>
        <v>0</v>
      </c>
      <c r="G75" s="48">
        <f t="shared" si="8"/>
        <v>11826.61</v>
      </c>
      <c r="H75" s="48">
        <f>ROUND(IF(MONTH($A75)=12,2.333,1)*VLOOKUP($A75,'Página31'!$A$1:$V$27,COLUMN(),TRUE),2)</f>
        <v>26023.8</v>
      </c>
      <c r="I75" s="48">
        <f t="shared" si="4"/>
        <v>27303.62</v>
      </c>
      <c r="J75" s="48">
        <f>ROUND(IF(MONTH($A75)=12,2.333,1)*VLOOKUP($A75,'Página31'!$A$1:$V$27,COLUMN(),TRUE),2)</f>
        <v>19621.31</v>
      </c>
      <c r="K75" s="48">
        <f>ROUND(IF(MONTH($A75)=12,2.333,1)*VLOOKUP($A75,'Página31'!$A$1:$V$27,COLUMN(),TRUE),2)</f>
        <v>18548.53</v>
      </c>
      <c r="L75" s="48" t="str">
        <f>VLOOKUP($A75,'Página31'!$A$1:$V$27,COLUMN(),TRUE)</f>
        <v/>
      </c>
      <c r="M75" s="48">
        <f>VLOOKUP($A75,'Página31'!$A$1:$V$27,COLUMN(),TRUE)</f>
        <v>17702.5985</v>
      </c>
      <c r="N75" s="48">
        <f>VLOOKUP($A75,'Página31'!$A$1:$V$27,COLUMN(),TRUE)</f>
        <v>27303.7</v>
      </c>
      <c r="O75" s="48" t="str">
        <f>VLOOKUP($A75,'Página31'!$A$1:$V$27,COLUMN(),TRUE)</f>
        <v/>
      </c>
      <c r="P75" s="48">
        <f>VLOOKUP($A75,'Página31'!$A$1:$V$27,COLUMN(),TRUE)</f>
        <v>11826.61</v>
      </c>
      <c r="Q75" s="48" t="str">
        <f>VLOOKUP($A75,'Página31'!$A$1:$V$27,COLUMN(),TRUE)</f>
        <v/>
      </c>
      <c r="R75" s="48">
        <f>VLOOKUP($A75,'Página31'!$A$1:$V$27,COLUMN(),TRUE)</f>
        <v>27303.62</v>
      </c>
      <c r="S75" s="48" t="str">
        <f>VLOOKUP($A75,'Página31'!$A$1:$V$27,COLUMN(),TRUE)</f>
        <v/>
      </c>
      <c r="T75" s="73">
        <f t="shared" si="5"/>
        <v>2022</v>
      </c>
      <c r="U75" s="73">
        <f t="shared" si="6"/>
        <v>2</v>
      </c>
    </row>
    <row r="76">
      <c r="A76" s="34">
        <v>44621.0</v>
      </c>
      <c r="B76" s="48">
        <f t="shared" si="7"/>
        <v>17260.04</v>
      </c>
      <c r="C76" s="48">
        <f>ROUND(IF(MONTH($A76)=12,2.333,1)*VLOOKUP($A76,'Página31'!$A$1:$V$27,COLUMN(),TRUE),2)</f>
        <v>28810.18</v>
      </c>
      <c r="D76" s="48">
        <f t="shared" si="2"/>
        <v>27303.7</v>
      </c>
      <c r="E76" s="48">
        <f>ROUND(IF(MONTH($A76)=12,2.333,1)*VLOOKUP($A76,'Página31'!$A$1:$V$27,COLUMN(),TRUE),2)</f>
        <v>28810.18</v>
      </c>
      <c r="F76" s="48">
        <f>ROUND(IF(MONTH($A76)=12,2.333,1)*VLOOKUP($A76,'Página31'!$A$1:$V$27,COLUMN(),TRUE),2)</f>
        <v>0</v>
      </c>
      <c r="G76" s="48">
        <f t="shared" si="8"/>
        <v>11826.61</v>
      </c>
      <c r="H76" s="48">
        <f>ROUND(IF(MONTH($A76)=12,2.333,1)*VLOOKUP($A76,'Página31'!$A$1:$V$27,COLUMN(),TRUE),2)</f>
        <v>26023.8</v>
      </c>
      <c r="I76" s="48">
        <f t="shared" si="4"/>
        <v>27303.62</v>
      </c>
      <c r="J76" s="48">
        <f>ROUND(IF(MONTH($A76)=12,2.333,1)*VLOOKUP($A76,'Página31'!$A$1:$V$27,COLUMN(),TRUE),2)</f>
        <v>19621.31</v>
      </c>
      <c r="K76" s="48">
        <f>ROUND(IF(MONTH($A76)=12,2.333,1)*VLOOKUP($A76,'Página31'!$A$1:$V$27,COLUMN(),TRUE),2)</f>
        <v>18548.53</v>
      </c>
      <c r="L76" s="48" t="str">
        <f>VLOOKUP($A76,'Página31'!$A$1:$V$27,COLUMN(),TRUE)</f>
        <v/>
      </c>
      <c r="M76" s="48">
        <f>VLOOKUP($A76,'Página31'!$A$1:$V$27,COLUMN(),TRUE)</f>
        <v>17702.5985</v>
      </c>
      <c r="N76" s="48">
        <f>VLOOKUP($A76,'Página31'!$A$1:$V$27,COLUMN(),TRUE)</f>
        <v>27303.7</v>
      </c>
      <c r="O76" s="48" t="str">
        <f>VLOOKUP($A76,'Página31'!$A$1:$V$27,COLUMN(),TRUE)</f>
        <v/>
      </c>
      <c r="P76" s="48">
        <f>VLOOKUP($A76,'Página31'!$A$1:$V$27,COLUMN(),TRUE)</f>
        <v>11826.61</v>
      </c>
      <c r="Q76" s="48" t="str">
        <f>VLOOKUP($A76,'Página31'!$A$1:$V$27,COLUMN(),TRUE)</f>
        <v/>
      </c>
      <c r="R76" s="48">
        <f>VLOOKUP($A76,'Página31'!$A$1:$V$27,COLUMN(),TRUE)</f>
        <v>27303.62</v>
      </c>
      <c r="S76" s="48" t="str">
        <f>VLOOKUP($A76,'Página31'!$A$1:$V$27,COLUMN(),TRUE)</f>
        <v/>
      </c>
      <c r="T76" s="73">
        <f t="shared" si="5"/>
        <v>2022</v>
      </c>
      <c r="U76" s="73">
        <f t="shared" si="6"/>
        <v>3</v>
      </c>
    </row>
    <row r="77">
      <c r="A77" s="34">
        <v>44652.0</v>
      </c>
      <c r="B77" s="48">
        <f t="shared" si="7"/>
        <v>17260.04</v>
      </c>
      <c r="C77" s="48">
        <f>ROUND(IF(MONTH($A77)=12,2.333,1)*VLOOKUP($A77,'Página31'!$A$1:$V$27,COLUMN(),TRUE),2)</f>
        <v>28810.18</v>
      </c>
      <c r="D77" s="48">
        <f t="shared" si="2"/>
        <v>27303.7</v>
      </c>
      <c r="E77" s="48">
        <f>ROUND(IF(MONTH($A77)=12,2.333,1)*VLOOKUP($A77,'Página31'!$A$1:$V$27,COLUMN(),TRUE),2)</f>
        <v>28810.18</v>
      </c>
      <c r="F77" s="48">
        <f>ROUND(IF(MONTH($A77)=12,2.333,1)*VLOOKUP($A77,'Página31'!$A$1:$V$27,COLUMN(),TRUE),2)</f>
        <v>0</v>
      </c>
      <c r="G77" s="48">
        <f t="shared" si="8"/>
        <v>11826.61</v>
      </c>
      <c r="H77" s="48">
        <f>ROUND(IF(MONTH($A77)=12,2.333,1)*VLOOKUP($A77,'Página31'!$A$1:$V$27,COLUMN(),TRUE),2)</f>
        <v>26023.8</v>
      </c>
      <c r="I77" s="48">
        <f t="shared" si="4"/>
        <v>27303.62</v>
      </c>
      <c r="J77" s="48">
        <f>ROUND(IF(MONTH($A77)=12,2.333,1)*VLOOKUP($A77,'Página31'!$A$1:$V$27,COLUMN(),TRUE),2)</f>
        <v>19621.31</v>
      </c>
      <c r="K77" s="48">
        <f>ROUND(IF(MONTH($A77)=12,2.333,1)*VLOOKUP($A77,'Página31'!$A$1:$V$27,COLUMN(),TRUE),2)</f>
        <v>18548.53</v>
      </c>
      <c r="L77" s="48" t="str">
        <f>VLOOKUP($A77,'Página31'!$A$1:$V$27,COLUMN(),TRUE)</f>
        <v/>
      </c>
      <c r="M77" s="48">
        <f>VLOOKUP($A77,'Página31'!$A$1:$V$27,COLUMN(),TRUE)</f>
        <v>17702.5985</v>
      </c>
      <c r="N77" s="48">
        <f>VLOOKUP($A77,'Página31'!$A$1:$V$27,COLUMN(),TRUE)</f>
        <v>27303.7</v>
      </c>
      <c r="O77" s="48" t="str">
        <f>VLOOKUP($A77,'Página31'!$A$1:$V$27,COLUMN(),TRUE)</f>
        <v/>
      </c>
      <c r="P77" s="48">
        <f>VLOOKUP($A77,'Página31'!$A$1:$V$27,COLUMN(),TRUE)</f>
        <v>11826.61</v>
      </c>
      <c r="Q77" s="48" t="str">
        <f>VLOOKUP($A77,'Página31'!$A$1:$V$27,COLUMN(),TRUE)</f>
        <v/>
      </c>
      <c r="R77" s="48">
        <f>VLOOKUP($A77,'Página31'!$A$1:$V$27,COLUMN(),TRUE)</f>
        <v>27303.62</v>
      </c>
      <c r="S77" s="48" t="str">
        <f>VLOOKUP($A77,'Página31'!$A$1:$V$27,COLUMN(),TRUE)</f>
        <v/>
      </c>
      <c r="T77" s="73">
        <f t="shared" si="5"/>
        <v>2022</v>
      </c>
      <c r="U77" s="73">
        <f t="shared" si="6"/>
        <v>4</v>
      </c>
    </row>
    <row r="78">
      <c r="A78" s="34">
        <v>44682.0</v>
      </c>
      <c r="B78" s="48">
        <f t="shared" si="7"/>
        <v>17260.04</v>
      </c>
      <c r="C78" s="48">
        <f>ROUND(IF(MONTH($A78)=12,2.333,1)*VLOOKUP($A78,'Página31'!$A$1:$V$27,COLUMN(),TRUE),2)</f>
        <v>28810.18</v>
      </c>
      <c r="D78" s="48">
        <f t="shared" si="2"/>
        <v>27303.7</v>
      </c>
      <c r="E78" s="48">
        <f>ROUND(IF(MONTH($A78)=12,2.333,1)*VLOOKUP($A78,'Página31'!$A$1:$V$27,COLUMN(),TRUE),2)</f>
        <v>28810.18</v>
      </c>
      <c r="F78" s="48">
        <f>ROUND(IF(MONTH($A78)=12,2.333,1)*VLOOKUP($A78,'Página31'!$A$1:$V$27,COLUMN(),TRUE),2)</f>
        <v>0</v>
      </c>
      <c r="G78" s="48">
        <f t="shared" si="8"/>
        <v>11826.61</v>
      </c>
      <c r="H78" s="48">
        <f>ROUND(IF(MONTH($A78)=12,2.333,1)*VLOOKUP($A78,'Página31'!$A$1:$V$27,COLUMN(),TRUE),2)</f>
        <v>26023.8</v>
      </c>
      <c r="I78" s="48">
        <f t="shared" si="4"/>
        <v>27303.62</v>
      </c>
      <c r="J78" s="48">
        <f>ROUND(IF(MONTH($A78)=12,2.333,1)*VLOOKUP($A78,'Página31'!$A$1:$V$27,COLUMN(),TRUE),2)</f>
        <v>19621.31</v>
      </c>
      <c r="K78" s="48">
        <f>ROUND(IF(MONTH($A78)=12,2.333,1)*VLOOKUP($A78,'Página31'!$A$1:$V$27,COLUMN(),TRUE),2)</f>
        <v>18548.53</v>
      </c>
      <c r="L78" s="48" t="str">
        <f>VLOOKUP($A78,'Página31'!$A$1:$V$27,COLUMN(),TRUE)</f>
        <v/>
      </c>
      <c r="M78" s="48">
        <f>VLOOKUP($A78,'Página31'!$A$1:$V$27,COLUMN(),TRUE)</f>
        <v>17702.5985</v>
      </c>
      <c r="N78" s="48">
        <f>VLOOKUP($A78,'Página31'!$A$1:$V$27,COLUMN(),TRUE)</f>
        <v>27303.7</v>
      </c>
      <c r="O78" s="48" t="str">
        <f>VLOOKUP($A78,'Página31'!$A$1:$V$27,COLUMN(),TRUE)</f>
        <v/>
      </c>
      <c r="P78" s="48">
        <f>VLOOKUP($A78,'Página31'!$A$1:$V$27,COLUMN(),TRUE)</f>
        <v>11826.61</v>
      </c>
      <c r="Q78" s="48" t="str">
        <f>VLOOKUP($A78,'Página31'!$A$1:$V$27,COLUMN(),TRUE)</f>
        <v/>
      </c>
      <c r="R78" s="48">
        <f>VLOOKUP($A78,'Página31'!$A$1:$V$27,COLUMN(),TRUE)</f>
        <v>27303.62</v>
      </c>
      <c r="S78" s="48" t="str">
        <f>VLOOKUP($A78,'Página31'!$A$1:$V$27,COLUMN(),TRUE)</f>
        <v/>
      </c>
      <c r="T78" s="73">
        <f t="shared" si="5"/>
        <v>2022</v>
      </c>
      <c r="U78" s="73">
        <f t="shared" si="6"/>
        <v>5</v>
      </c>
    </row>
    <row r="79">
      <c r="A79" s="34">
        <v>44713.0</v>
      </c>
      <c r="B79" s="48">
        <f t="shared" si="7"/>
        <v>17260.04</v>
      </c>
      <c r="C79" s="48">
        <f>ROUND(IF(MONTH($A79)=12,2.333,1)*VLOOKUP($A79,'Página31'!$A$1:$V$27,COLUMN(),TRUE),2)</f>
        <v>28810.18</v>
      </c>
      <c r="D79" s="48">
        <f t="shared" si="2"/>
        <v>27303.7</v>
      </c>
      <c r="E79" s="48">
        <f>ROUND(IF(MONTH($A79)=12,2.333,1)*VLOOKUP($A79,'Página31'!$A$1:$V$27,COLUMN(),TRUE),2)</f>
        <v>28810.18</v>
      </c>
      <c r="F79" s="48">
        <f>ROUND(IF(MONTH($A79)=12,2.333,1)*VLOOKUP($A79,'Página31'!$A$1:$V$27,COLUMN(),TRUE),2)</f>
        <v>0</v>
      </c>
      <c r="G79" s="48">
        <f t="shared" si="8"/>
        <v>11826.61</v>
      </c>
      <c r="H79" s="48">
        <f>ROUND(IF(MONTH($A79)=12,2.333,1)*VLOOKUP($A79,'Página31'!$A$1:$V$27,COLUMN(),TRUE),2)</f>
        <v>26023.8</v>
      </c>
      <c r="I79" s="48">
        <f t="shared" si="4"/>
        <v>27303.62</v>
      </c>
      <c r="J79" s="48">
        <f>ROUND(IF(MONTH($A79)=12,2.333,1)*VLOOKUP($A79,'Página31'!$A$1:$V$27,COLUMN(),TRUE),2)</f>
        <v>19621.31</v>
      </c>
      <c r="K79" s="48">
        <f>ROUND(IF(MONTH($A79)=12,2.333,1)*VLOOKUP($A79,'Página31'!$A$1:$V$27,COLUMN(),TRUE),2)</f>
        <v>18548.53</v>
      </c>
      <c r="L79" s="48" t="str">
        <f>VLOOKUP($A79,'Página31'!$A$1:$V$27,COLUMN(),TRUE)</f>
        <v/>
      </c>
      <c r="M79" s="48">
        <f>VLOOKUP($A79,'Página31'!$A$1:$V$27,COLUMN(),TRUE)</f>
        <v>17702.5985</v>
      </c>
      <c r="N79" s="48">
        <f>VLOOKUP($A79,'Página31'!$A$1:$V$27,COLUMN(),TRUE)</f>
        <v>27303.7</v>
      </c>
      <c r="O79" s="48" t="str">
        <f>VLOOKUP($A79,'Página31'!$A$1:$V$27,COLUMN(),TRUE)</f>
        <v/>
      </c>
      <c r="P79" s="48">
        <f>VLOOKUP($A79,'Página31'!$A$1:$V$27,COLUMN(),TRUE)</f>
        <v>11826.61</v>
      </c>
      <c r="Q79" s="48" t="str">
        <f>VLOOKUP($A79,'Página31'!$A$1:$V$27,COLUMN(),TRUE)</f>
        <v/>
      </c>
      <c r="R79" s="48">
        <f>VLOOKUP($A79,'Página31'!$A$1:$V$27,COLUMN(),TRUE)</f>
        <v>27303.62</v>
      </c>
      <c r="S79" s="48" t="str">
        <f>VLOOKUP($A79,'Página31'!$A$1:$V$27,COLUMN(),TRUE)</f>
        <v/>
      </c>
      <c r="T79" s="73">
        <f t="shared" si="5"/>
        <v>2022</v>
      </c>
      <c r="U79" s="73">
        <f t="shared" si="6"/>
        <v>6</v>
      </c>
    </row>
    <row r="80">
      <c r="A80" s="34">
        <v>44743.0</v>
      </c>
      <c r="B80" s="48">
        <f t="shared" si="7"/>
        <v>17260.04</v>
      </c>
      <c r="C80" s="48">
        <f>ROUND(IF(MONTH($A80)=12,2.333,1)*VLOOKUP($A80,'Página31'!$A$1:$V$27,COLUMN(),TRUE),2)</f>
        <v>28810.18</v>
      </c>
      <c r="D80" s="48">
        <f t="shared" si="2"/>
        <v>27303.7</v>
      </c>
      <c r="E80" s="48">
        <f>ROUND(IF(MONTH($A80)=12,2.333,1)*VLOOKUP($A80,'Página31'!$A$1:$V$27,COLUMN(),TRUE),2)</f>
        <v>28810.18</v>
      </c>
      <c r="F80" s="48">
        <f>ROUND(IF(MONTH($A80)=12,2.333,1)*VLOOKUP($A80,'Página31'!$A$1:$V$27,COLUMN(),TRUE),2)</f>
        <v>0</v>
      </c>
      <c r="G80" s="48">
        <f t="shared" si="8"/>
        <v>11826.61</v>
      </c>
      <c r="H80" s="48">
        <f>ROUND(IF(MONTH($A80)=12,2.333,1)*VLOOKUP($A80,'Página31'!$A$1:$V$27,COLUMN(),TRUE),2)</f>
        <v>26023.8</v>
      </c>
      <c r="I80" s="48">
        <f t="shared" si="4"/>
        <v>27303.62</v>
      </c>
      <c r="J80" s="48">
        <f>ROUND(IF(MONTH($A80)=12,2.333,1)*VLOOKUP($A80,'Página31'!$A$1:$V$27,COLUMN(),TRUE),2)</f>
        <v>19621.31</v>
      </c>
      <c r="K80" s="48">
        <f>ROUND(IF(MONTH($A80)=12,2.333,1)*VLOOKUP($A80,'Página31'!$A$1:$V$27,COLUMN(),TRUE),2)</f>
        <v>18548.53</v>
      </c>
      <c r="L80" s="48" t="str">
        <f>VLOOKUP($A80,'Página31'!$A$1:$V$27,COLUMN(),TRUE)</f>
        <v/>
      </c>
      <c r="M80" s="48">
        <f>VLOOKUP($A80,'Página31'!$A$1:$V$27,COLUMN(),TRUE)</f>
        <v>17702.5985</v>
      </c>
      <c r="N80" s="48">
        <f>VLOOKUP($A80,'Página31'!$A$1:$V$27,COLUMN(),TRUE)</f>
        <v>27303.7</v>
      </c>
      <c r="O80" s="48" t="str">
        <f>VLOOKUP($A80,'Página31'!$A$1:$V$27,COLUMN(),TRUE)</f>
        <v/>
      </c>
      <c r="P80" s="48">
        <f>VLOOKUP($A80,'Página31'!$A$1:$V$27,COLUMN(),TRUE)</f>
        <v>11826.61</v>
      </c>
      <c r="Q80" s="48" t="str">
        <f>VLOOKUP($A80,'Página31'!$A$1:$V$27,COLUMN(),TRUE)</f>
        <v/>
      </c>
      <c r="R80" s="48">
        <f>VLOOKUP($A80,'Página31'!$A$1:$V$27,COLUMN(),TRUE)</f>
        <v>27303.62</v>
      </c>
      <c r="S80" s="48" t="str">
        <f>VLOOKUP($A80,'Página31'!$A$1:$V$27,COLUMN(),TRUE)</f>
        <v/>
      </c>
      <c r="T80" s="73">
        <f t="shared" si="5"/>
        <v>2022</v>
      </c>
      <c r="U80" s="73">
        <f t="shared" si="6"/>
        <v>7</v>
      </c>
    </row>
    <row r="81">
      <c r="A81" s="34">
        <v>44774.0</v>
      </c>
      <c r="B81" s="48">
        <f t="shared" si="7"/>
        <v>17260.04</v>
      </c>
      <c r="C81" s="48">
        <f>ROUND(IF(MONTH($A81)=12,2.333,1)*VLOOKUP($A81,'Página31'!$A$1:$V$27,COLUMN(),TRUE),2)</f>
        <v>28810.18</v>
      </c>
      <c r="D81" s="48">
        <f t="shared" si="2"/>
        <v>27303.7</v>
      </c>
      <c r="E81" s="48">
        <f>ROUND(IF(MONTH($A81)=12,2.333,1)*VLOOKUP($A81,'Página31'!$A$1:$V$27,COLUMN(),TRUE),2)</f>
        <v>28810.18</v>
      </c>
      <c r="F81" s="48">
        <f>ROUND(IF(MONTH($A81)=12,2.333,1)*VLOOKUP($A81,'Página31'!$A$1:$V$27,COLUMN(),TRUE),2)</f>
        <v>0</v>
      </c>
      <c r="G81" s="48">
        <f t="shared" si="8"/>
        <v>11826.61</v>
      </c>
      <c r="H81" s="48">
        <f>ROUND(IF(MONTH($A81)=12,2.333,1)*VLOOKUP($A81,'Página31'!$A$1:$V$27,COLUMN(),TRUE),2)</f>
        <v>26023.8</v>
      </c>
      <c r="I81" s="48">
        <f t="shared" si="4"/>
        <v>27303.62</v>
      </c>
      <c r="J81" s="48">
        <f>ROUND(IF(MONTH($A81)=12,2.333,1)*VLOOKUP($A81,'Página31'!$A$1:$V$27,COLUMN(),TRUE),2)</f>
        <v>19621.31</v>
      </c>
      <c r="K81" s="48">
        <f>ROUND(IF(MONTH($A81)=12,2.333,1)*VLOOKUP($A81,'Página31'!$A$1:$V$27,COLUMN(),TRUE),2)</f>
        <v>18548.53</v>
      </c>
      <c r="L81" s="48" t="str">
        <f>VLOOKUP($A81,'Página31'!$A$1:$V$27,COLUMN(),TRUE)</f>
        <v/>
      </c>
      <c r="M81" s="48">
        <f>VLOOKUP($A81,'Página31'!$A$1:$V$27,COLUMN(),TRUE)</f>
        <v>17702.5985</v>
      </c>
      <c r="N81" s="48">
        <f>VLOOKUP($A81,'Página31'!$A$1:$V$27,COLUMN(),TRUE)</f>
        <v>27303.7</v>
      </c>
      <c r="O81" s="48" t="str">
        <f>VLOOKUP($A81,'Página31'!$A$1:$V$27,COLUMN(),TRUE)</f>
        <v/>
      </c>
      <c r="P81" s="48">
        <f>VLOOKUP($A81,'Página31'!$A$1:$V$27,COLUMN(),TRUE)</f>
        <v>11826.61</v>
      </c>
      <c r="Q81" s="48" t="str">
        <f>VLOOKUP($A81,'Página31'!$A$1:$V$27,COLUMN(),TRUE)</f>
        <v/>
      </c>
      <c r="R81" s="48">
        <f>VLOOKUP($A81,'Página31'!$A$1:$V$27,COLUMN(),TRUE)</f>
        <v>27303.62</v>
      </c>
      <c r="S81" s="48" t="str">
        <f>VLOOKUP($A81,'Página31'!$A$1:$V$27,COLUMN(),TRUE)</f>
        <v/>
      </c>
      <c r="T81" s="73">
        <f t="shared" si="5"/>
        <v>2022</v>
      </c>
      <c r="U81" s="73">
        <f t="shared" si="6"/>
        <v>8</v>
      </c>
    </row>
    <row r="82">
      <c r="A82" s="34">
        <v>44805.0</v>
      </c>
      <c r="B82" s="48">
        <f t="shared" si="7"/>
        <v>17260.04</v>
      </c>
      <c r="C82" s="48">
        <f>ROUND(IF(MONTH($A82)=12,2.333,1)*VLOOKUP($A82,'Página31'!$A$1:$V$27,COLUMN(),TRUE),2)</f>
        <v>28810.18</v>
      </c>
      <c r="D82" s="48">
        <f t="shared" si="2"/>
        <v>27303.7</v>
      </c>
      <c r="E82" s="48">
        <f>ROUND(IF(MONTH($A82)=12,2.333,1)*VLOOKUP($A82,'Página31'!$A$1:$V$27,COLUMN(),TRUE),2)</f>
        <v>28810.18</v>
      </c>
      <c r="F82" s="48">
        <f>ROUND(IF(MONTH($A82)=12,2.333,1)*VLOOKUP($A82,'Página31'!$A$1:$V$27,COLUMN(),TRUE),2)</f>
        <v>0</v>
      </c>
      <c r="G82" s="48">
        <f t="shared" si="8"/>
        <v>11826.61</v>
      </c>
      <c r="H82" s="48">
        <f>ROUND(IF(MONTH($A82)=12,2.333,1)*VLOOKUP($A82,'Página31'!$A$1:$V$27,COLUMN(),TRUE),2)</f>
        <v>26023.8</v>
      </c>
      <c r="I82" s="48">
        <f t="shared" si="4"/>
        <v>27303.62</v>
      </c>
      <c r="J82" s="48">
        <f>ROUND(IF(MONTH($A82)=12,2.333,1)*VLOOKUP($A82,'Página31'!$A$1:$V$27,COLUMN(),TRUE),2)</f>
        <v>19621.31</v>
      </c>
      <c r="K82" s="48">
        <f>ROUND(IF(MONTH($A82)=12,2.333,1)*VLOOKUP($A82,'Página31'!$A$1:$V$27,COLUMN(),TRUE),2)</f>
        <v>18548.53</v>
      </c>
      <c r="L82" s="48" t="str">
        <f>VLOOKUP($A82,'Página31'!$A$1:$V$27,COLUMN(),TRUE)</f>
        <v/>
      </c>
      <c r="M82" s="48">
        <f>VLOOKUP($A82,'Página31'!$A$1:$V$27,COLUMN(),TRUE)</f>
        <v>17702.5985</v>
      </c>
      <c r="N82" s="48">
        <f>VLOOKUP($A82,'Página31'!$A$1:$V$27,COLUMN(),TRUE)</f>
        <v>27303.7</v>
      </c>
      <c r="O82" s="48" t="str">
        <f>VLOOKUP($A82,'Página31'!$A$1:$V$27,COLUMN(),TRUE)</f>
        <v/>
      </c>
      <c r="P82" s="48">
        <f>VLOOKUP($A82,'Página31'!$A$1:$V$27,COLUMN(),TRUE)</f>
        <v>11826.61</v>
      </c>
      <c r="Q82" s="48" t="str">
        <f>VLOOKUP($A82,'Página31'!$A$1:$V$27,COLUMN(),TRUE)</f>
        <v/>
      </c>
      <c r="R82" s="48">
        <f>VLOOKUP($A82,'Página31'!$A$1:$V$27,COLUMN(),TRUE)</f>
        <v>27303.62</v>
      </c>
      <c r="S82" s="48" t="str">
        <f>VLOOKUP($A82,'Página31'!$A$1:$V$27,COLUMN(),TRUE)</f>
        <v/>
      </c>
      <c r="T82" s="73">
        <f t="shared" si="5"/>
        <v>2022</v>
      </c>
      <c r="U82" s="73">
        <f t="shared" si="6"/>
        <v>9</v>
      </c>
    </row>
    <row r="83">
      <c r="A83" s="34">
        <v>44835.0</v>
      </c>
      <c r="B83" s="48">
        <f t="shared" si="7"/>
        <v>17260.04</v>
      </c>
      <c r="C83" s="48">
        <f>ROUND(IF(MONTH($A83)=12,2.333,1)*VLOOKUP($A83,'Página31'!$A$1:$V$27,COLUMN(),TRUE),2)</f>
        <v>28810.18</v>
      </c>
      <c r="D83" s="48">
        <f t="shared" si="2"/>
        <v>27303.7</v>
      </c>
      <c r="E83" s="48">
        <f>ROUND(IF(MONTH($A83)=12,2.333,1)*VLOOKUP($A83,'Página31'!$A$1:$V$27,COLUMN(),TRUE),2)</f>
        <v>28810.18</v>
      </c>
      <c r="F83" s="48">
        <f>ROUND(IF(MONTH($A83)=12,2.333,1)*VLOOKUP($A83,'Página31'!$A$1:$V$27,COLUMN(),TRUE),2)</f>
        <v>0</v>
      </c>
      <c r="G83" s="48">
        <f t="shared" si="8"/>
        <v>11826.61</v>
      </c>
      <c r="H83" s="48">
        <f>ROUND(IF(MONTH($A83)=12,2.333,1)*VLOOKUP($A83,'Página31'!$A$1:$V$27,COLUMN(),TRUE),2)</f>
        <v>26023.8</v>
      </c>
      <c r="I83" s="48">
        <f t="shared" si="4"/>
        <v>27303.62</v>
      </c>
      <c r="J83" s="48">
        <f>ROUND(IF(MONTH($A83)=12,2.333,1)*VLOOKUP($A83,'Página31'!$A$1:$V$27,COLUMN(),TRUE),2)</f>
        <v>19621.31</v>
      </c>
      <c r="K83" s="48">
        <f>ROUND(IF(MONTH($A83)=12,2.333,1)*VLOOKUP($A83,'Página31'!$A$1:$V$27,COLUMN(),TRUE),2)</f>
        <v>18548.53</v>
      </c>
      <c r="L83" s="48" t="str">
        <f>VLOOKUP($A83,'Página31'!$A$1:$V$27,COLUMN(),TRUE)</f>
        <v/>
      </c>
      <c r="M83" s="48">
        <f>VLOOKUP($A83,'Página31'!$A$1:$V$27,COLUMN(),TRUE)</f>
        <v>17702.5985</v>
      </c>
      <c r="N83" s="48">
        <f>VLOOKUP($A83,'Página31'!$A$1:$V$27,COLUMN(),TRUE)</f>
        <v>27303.7</v>
      </c>
      <c r="O83" s="48" t="str">
        <f>VLOOKUP($A83,'Página31'!$A$1:$V$27,COLUMN(),TRUE)</f>
        <v/>
      </c>
      <c r="P83" s="48">
        <f>VLOOKUP($A83,'Página31'!$A$1:$V$27,COLUMN(),TRUE)</f>
        <v>11826.61</v>
      </c>
      <c r="Q83" s="48" t="str">
        <f>VLOOKUP($A83,'Página31'!$A$1:$V$27,COLUMN(),TRUE)</f>
        <v/>
      </c>
      <c r="R83" s="48">
        <f>VLOOKUP($A83,'Página31'!$A$1:$V$27,COLUMN(),TRUE)</f>
        <v>27303.62</v>
      </c>
      <c r="S83" s="48" t="str">
        <f>VLOOKUP($A83,'Página31'!$A$1:$V$27,COLUMN(),TRUE)</f>
        <v/>
      </c>
      <c r="T83" s="73">
        <f t="shared" si="5"/>
        <v>2022</v>
      </c>
      <c r="U83" s="73">
        <f t="shared" si="6"/>
        <v>10</v>
      </c>
    </row>
    <row r="84">
      <c r="A84" s="34">
        <v>44866.0</v>
      </c>
      <c r="B84" s="48">
        <f t="shared" si="7"/>
        <v>17260.04</v>
      </c>
      <c r="C84" s="48">
        <f>ROUND(IF(MONTH($A84)=12,2.333,1)*VLOOKUP($A84,'Página31'!$A$1:$V$27,COLUMN(),TRUE),2)</f>
        <v>28810.18</v>
      </c>
      <c r="D84" s="48">
        <f t="shared" si="2"/>
        <v>27303.7</v>
      </c>
      <c r="E84" s="48">
        <f>ROUND(IF(MONTH($A84)=12,2.333,1)*VLOOKUP($A84,'Página31'!$A$1:$V$27,COLUMN(),TRUE),2)</f>
        <v>28810.18</v>
      </c>
      <c r="F84" s="48">
        <f>ROUND(IF(MONTH($A84)=12,2.333,1)*VLOOKUP($A84,'Página31'!$A$1:$V$27,COLUMN(),TRUE),2)</f>
        <v>0</v>
      </c>
      <c r="G84" s="48">
        <f t="shared" si="8"/>
        <v>11826.61</v>
      </c>
      <c r="H84" s="48">
        <f>ROUND(IF(MONTH($A84)=12,2.333,1)*VLOOKUP($A84,'Página31'!$A$1:$V$27,COLUMN(),TRUE),2)</f>
        <v>26023.8</v>
      </c>
      <c r="I84" s="48">
        <f t="shared" si="4"/>
        <v>27303.62</v>
      </c>
      <c r="J84" s="48">
        <f>ROUND(IF(MONTH($A84)=12,2.333,1)*VLOOKUP($A84,'Página31'!$A$1:$V$27,COLUMN(),TRUE),2)</f>
        <v>19621.31</v>
      </c>
      <c r="K84" s="48">
        <f>ROUND(IF(MONTH($A84)=12,2.333,1)*VLOOKUP($A84,'Página31'!$A$1:$V$27,COLUMN(),TRUE),2)</f>
        <v>18548.53</v>
      </c>
      <c r="L84" s="48" t="str">
        <f>VLOOKUP($A84,'Página31'!$A$1:$V$27,COLUMN(),TRUE)</f>
        <v/>
      </c>
      <c r="M84" s="48">
        <f>VLOOKUP($A84,'Página31'!$A$1:$V$27,COLUMN(),TRUE)</f>
        <v>17702.5985</v>
      </c>
      <c r="N84" s="48">
        <f>VLOOKUP($A84,'Página31'!$A$1:$V$27,COLUMN(),TRUE)</f>
        <v>27303.7</v>
      </c>
      <c r="O84" s="48" t="str">
        <f>VLOOKUP($A84,'Página31'!$A$1:$V$27,COLUMN(),TRUE)</f>
        <v/>
      </c>
      <c r="P84" s="48">
        <f>VLOOKUP($A84,'Página31'!$A$1:$V$27,COLUMN(),TRUE)</f>
        <v>11826.61</v>
      </c>
      <c r="Q84" s="48" t="str">
        <f>VLOOKUP($A84,'Página31'!$A$1:$V$27,COLUMN(),TRUE)</f>
        <v/>
      </c>
      <c r="R84" s="48">
        <f>VLOOKUP($A84,'Página31'!$A$1:$V$27,COLUMN(),TRUE)</f>
        <v>27303.62</v>
      </c>
      <c r="S84" s="48" t="str">
        <f>VLOOKUP($A84,'Página31'!$A$1:$V$27,COLUMN(),TRUE)</f>
        <v/>
      </c>
      <c r="T84" s="73">
        <f t="shared" si="5"/>
        <v>2022</v>
      </c>
      <c r="U84" s="73">
        <f t="shared" si="6"/>
        <v>11</v>
      </c>
    </row>
    <row r="85">
      <c r="A85" s="34">
        <v>44896.0</v>
      </c>
      <c r="B85" s="48">
        <f t="shared" si="7"/>
        <v>40267.67</v>
      </c>
      <c r="C85" s="48">
        <f>ROUND(IF(MONTH($A85)=12,2.333,1)*VLOOKUP($A85,'Página31'!$A$1:$V$27,COLUMN(),TRUE),2)</f>
        <v>67214.15</v>
      </c>
      <c r="D85" s="48">
        <f t="shared" si="2"/>
        <v>63699.53</v>
      </c>
      <c r="E85" s="48">
        <f>ROUND(IF(MONTH($A85)=12,2.333,1)*VLOOKUP($A85,'Página31'!$A$1:$V$27,COLUMN(),TRUE),2)</f>
        <v>67214.15</v>
      </c>
      <c r="F85" s="48">
        <f>ROUND(IF(MONTH($A85)=12,2.333,1)*VLOOKUP($A85,'Página31'!$A$1:$V$27,COLUMN(),TRUE),2)</f>
        <v>0</v>
      </c>
      <c r="G85" s="48">
        <f t="shared" si="8"/>
        <v>27591.48</v>
      </c>
      <c r="H85" s="48">
        <f>ROUND(IF(MONTH($A85)=12,2.333,1)*VLOOKUP($A85,'Página31'!$A$1:$V$27,COLUMN(),TRUE),2)</f>
        <v>60713.53</v>
      </c>
      <c r="I85" s="48">
        <f t="shared" si="4"/>
        <v>63699.35</v>
      </c>
      <c r="J85" s="48">
        <f>ROUND(IF(MONTH($A85)=12,2.333,1)*VLOOKUP($A85,'Página31'!$A$1:$V$27,COLUMN(),TRUE),2)</f>
        <v>45776.52</v>
      </c>
      <c r="K85" s="48">
        <f>ROUND(IF(MONTH($A85)=12,2.333,1)*VLOOKUP($A85,'Página31'!$A$1:$V$27,COLUMN(),TRUE),2)</f>
        <v>43273.73</v>
      </c>
      <c r="L85" s="48" t="str">
        <f>VLOOKUP($A85,'Página31'!$A$1:$V$27,COLUMN(),TRUE)</f>
        <v/>
      </c>
      <c r="M85" s="48">
        <f>VLOOKUP($A85,'Página31'!$A$1:$V$27,COLUMN(),TRUE)</f>
        <v>17702.5985</v>
      </c>
      <c r="N85" s="48">
        <f>VLOOKUP($A85,'Página31'!$A$1:$V$27,COLUMN(),TRUE)</f>
        <v>27303.7</v>
      </c>
      <c r="O85" s="48" t="str">
        <f>VLOOKUP($A85,'Página31'!$A$1:$V$27,COLUMN(),TRUE)</f>
        <v/>
      </c>
      <c r="P85" s="48">
        <f>VLOOKUP($A85,'Página31'!$A$1:$V$27,COLUMN(),TRUE)</f>
        <v>11826.61</v>
      </c>
      <c r="Q85" s="48" t="str">
        <f>VLOOKUP($A85,'Página31'!$A$1:$V$27,COLUMN(),TRUE)</f>
        <v/>
      </c>
      <c r="R85" s="48">
        <f>VLOOKUP($A85,'Página31'!$A$1:$V$27,COLUMN(),TRUE)</f>
        <v>27303.62</v>
      </c>
      <c r="S85" s="48" t="str">
        <f>VLOOKUP($A85,'Página31'!$A$1:$V$27,COLUMN(),TRUE)</f>
        <v/>
      </c>
      <c r="T85" s="73">
        <f t="shared" si="5"/>
        <v>2022</v>
      </c>
      <c r="U85" s="73">
        <f t="shared" si="6"/>
        <v>12</v>
      </c>
    </row>
    <row r="86">
      <c r="A86" s="34">
        <v>44927.0</v>
      </c>
      <c r="B86" s="48">
        <f t="shared" si="7"/>
        <v>17304.19</v>
      </c>
      <c r="C86" s="48">
        <f>ROUND(IF(MONTH($A86)=12,2.333,1)*VLOOKUP($A86,'Página31'!$A$1:$V$27,COLUMN(),TRUE),2)</f>
        <v>28810.18</v>
      </c>
      <c r="D86" s="48">
        <f t="shared" si="2"/>
        <v>27303.7</v>
      </c>
      <c r="E86" s="48">
        <f>ROUND(IF(MONTH($A86)=12,2.333,1)*VLOOKUP($A86,'Página31'!$A$1:$V$27,COLUMN(),TRUE),2)</f>
        <v>28810.18</v>
      </c>
      <c r="F86" s="48">
        <f>ROUND(IF(MONTH($A86)=12,2.333,1)*VLOOKUP($A86,'Página31'!$A$1:$V$27,COLUMN(),TRUE),2)</f>
        <v>0</v>
      </c>
      <c r="G86" s="48">
        <f t="shared" si="8"/>
        <v>11987.25</v>
      </c>
      <c r="H86" s="48">
        <f>ROUND(IF(MONTH($A86)=12,2.333,1)*VLOOKUP($A86,'Página31'!$A$1:$V$27,COLUMN(),TRUE),2)</f>
        <v>26182.64</v>
      </c>
      <c r="I86" s="48">
        <f t="shared" si="4"/>
        <v>27303.62</v>
      </c>
      <c r="J86" s="48">
        <f>ROUND(IF(MONTH($A86)=12,2.333,1)*VLOOKUP($A86,'Página31'!$A$1:$V$27,COLUMN(),TRUE),2)</f>
        <v>19666.59</v>
      </c>
      <c r="K86" s="48">
        <f>ROUND(IF(MONTH($A86)=12,2.333,1)*VLOOKUP($A86,'Página31'!$A$1:$V$27,COLUMN(),TRUE),2)</f>
        <v>18593.82</v>
      </c>
      <c r="L86" s="48" t="str">
        <f>VLOOKUP($A86,'Página31'!$A$1:$V$27,COLUMN(),TRUE)</f>
        <v/>
      </c>
      <c r="M86" s="48">
        <f>VLOOKUP($A86,'Página31'!$A$1:$V$27,COLUMN(),TRUE)</f>
        <v>17747.882</v>
      </c>
      <c r="N86" s="48">
        <f>VLOOKUP($A86,'Página31'!$A$1:$V$27,COLUMN(),TRUE)</f>
        <v>27303.7</v>
      </c>
      <c r="O86" s="48" t="str">
        <f>VLOOKUP($A86,'Página31'!$A$1:$V$27,COLUMN(),TRUE)</f>
        <v/>
      </c>
      <c r="P86" s="48">
        <f>VLOOKUP($A86,'Página31'!$A$1:$V$27,COLUMN(),TRUE)</f>
        <v>11987.25</v>
      </c>
      <c r="Q86" s="48" t="str">
        <f>VLOOKUP($A86,'Página31'!$A$1:$V$27,COLUMN(),TRUE)</f>
        <v/>
      </c>
      <c r="R86" s="48">
        <f>VLOOKUP($A86,'Página31'!$A$1:$V$27,COLUMN(),TRUE)</f>
        <v>27303.62</v>
      </c>
      <c r="S86" s="48" t="str">
        <f>VLOOKUP($A86,'Página31'!$A$1:$V$27,COLUMN(),TRUE)</f>
        <v/>
      </c>
      <c r="T86" s="73">
        <f t="shared" si="5"/>
        <v>2023</v>
      </c>
      <c r="U86" s="73">
        <f t="shared" si="6"/>
        <v>1</v>
      </c>
    </row>
    <row r="87">
      <c r="A87" s="34">
        <v>44958.0</v>
      </c>
      <c r="B87" s="48">
        <f t="shared" si="7"/>
        <v>17304.19</v>
      </c>
      <c r="C87" s="48">
        <f>ROUND(IF(MONTH($A87)=12,2.333,1)*VLOOKUP($A87,'Página31'!$A$1:$V$27,COLUMN(),TRUE),2)</f>
        <v>28810.18</v>
      </c>
      <c r="D87" s="48">
        <f t="shared" si="2"/>
        <v>27303.7</v>
      </c>
      <c r="E87" s="48">
        <f>ROUND(IF(MONTH($A87)=12,2.333,1)*VLOOKUP($A87,'Página31'!$A$1:$V$27,COLUMN(),TRUE),2)</f>
        <v>28810.18</v>
      </c>
      <c r="F87" s="48">
        <f>ROUND(IF(MONTH($A87)=12,2.333,1)*VLOOKUP($A87,'Página31'!$A$1:$V$27,COLUMN(),TRUE),2)</f>
        <v>0</v>
      </c>
      <c r="G87" s="48">
        <f t="shared" si="8"/>
        <v>11989.62</v>
      </c>
      <c r="H87" s="48">
        <f>ROUND(IF(MONTH($A87)=12,2.333,1)*VLOOKUP($A87,'Página31'!$A$1:$V$27,COLUMN(),TRUE),2)</f>
        <v>26184.31</v>
      </c>
      <c r="I87" s="48">
        <f t="shared" si="4"/>
        <v>27303.62</v>
      </c>
      <c r="J87" s="48">
        <f>ROUND(IF(MONTH($A87)=12,2.333,1)*VLOOKUP($A87,'Página31'!$A$1:$V$27,COLUMN(),TRUE),2)</f>
        <v>19666.59</v>
      </c>
      <c r="K87" s="48">
        <f>ROUND(IF(MONTH($A87)=12,2.333,1)*VLOOKUP($A87,'Página31'!$A$1:$V$27,COLUMN(),TRUE),2)</f>
        <v>18593.82</v>
      </c>
      <c r="L87" s="48" t="str">
        <f>VLOOKUP($A87,'Página31'!$A$1:$V$27,COLUMN(),TRUE)</f>
        <v/>
      </c>
      <c r="M87" s="48">
        <f>VLOOKUP($A87,'Página31'!$A$1:$V$27,COLUMN(),TRUE)</f>
        <v>17747.882</v>
      </c>
      <c r="N87" s="48">
        <f>VLOOKUP($A87,'Página31'!$A$1:$V$27,COLUMN(),TRUE)</f>
        <v>27303.7</v>
      </c>
      <c r="O87" s="48" t="str">
        <f>VLOOKUP($A87,'Página31'!$A$1:$V$27,COLUMN(),TRUE)</f>
        <v/>
      </c>
      <c r="P87" s="48">
        <f>VLOOKUP($A87,'Página31'!$A$1:$V$27,COLUMN(),TRUE)</f>
        <v>11989.62</v>
      </c>
      <c r="Q87" s="48" t="str">
        <f>VLOOKUP($A87,'Página31'!$A$1:$V$27,COLUMN(),TRUE)</f>
        <v/>
      </c>
      <c r="R87" s="48">
        <f>VLOOKUP($A87,'Página31'!$A$1:$V$27,COLUMN(),TRUE)</f>
        <v>27303.62</v>
      </c>
      <c r="S87" s="48" t="str">
        <f>VLOOKUP($A87,'Página31'!$A$1:$V$27,COLUMN(),TRUE)</f>
        <v/>
      </c>
      <c r="T87" s="73">
        <f t="shared" si="5"/>
        <v>2023</v>
      </c>
      <c r="U87" s="73">
        <f t="shared" si="6"/>
        <v>2</v>
      </c>
    </row>
    <row r="88">
      <c r="A88" s="34">
        <v>44986.0</v>
      </c>
      <c r="B88" s="48">
        <f t="shared" si="7"/>
        <v>17304.19</v>
      </c>
      <c r="C88" s="48">
        <f>ROUND(IF(MONTH($A88)=12,2.333,1)*VLOOKUP($A88,'Página31'!$A$1:$V$27,COLUMN(),TRUE),2)</f>
        <v>28810.18</v>
      </c>
      <c r="D88" s="48">
        <f t="shared" si="2"/>
        <v>27303.7</v>
      </c>
      <c r="E88" s="48">
        <f>ROUND(IF(MONTH($A88)=12,2.333,1)*VLOOKUP($A88,'Página31'!$A$1:$V$27,COLUMN(),TRUE),2)</f>
        <v>28810.18</v>
      </c>
      <c r="F88" s="48">
        <f>ROUND(IF(MONTH($A88)=12,2.333,1)*VLOOKUP($A88,'Página31'!$A$1:$V$27,COLUMN(),TRUE),2)</f>
        <v>0</v>
      </c>
      <c r="G88" s="48">
        <f t="shared" si="8"/>
        <v>11989.62</v>
      </c>
      <c r="H88" s="48">
        <f>ROUND(IF(MONTH($A88)=12,2.333,1)*VLOOKUP($A88,'Página31'!$A$1:$V$27,COLUMN(),TRUE),2)</f>
        <v>26184.31</v>
      </c>
      <c r="I88" s="48">
        <f t="shared" si="4"/>
        <v>27303.62</v>
      </c>
      <c r="J88" s="48">
        <f>ROUND(IF(MONTH($A88)=12,2.333,1)*VLOOKUP($A88,'Página31'!$A$1:$V$27,COLUMN(),TRUE),2)</f>
        <v>19666.59</v>
      </c>
      <c r="K88" s="48">
        <f>ROUND(IF(MONTH($A88)=12,2.333,1)*VLOOKUP($A88,'Página31'!$A$1:$V$27,COLUMN(),TRUE),2)</f>
        <v>18593.82</v>
      </c>
      <c r="L88" s="48" t="str">
        <f>VLOOKUP($A88,'Página31'!$A$1:$V$27,COLUMN(),TRUE)</f>
        <v/>
      </c>
      <c r="M88" s="48">
        <f>VLOOKUP($A88,'Página31'!$A$1:$V$27,COLUMN(),TRUE)</f>
        <v>17747.882</v>
      </c>
      <c r="N88" s="48">
        <f>VLOOKUP($A88,'Página31'!$A$1:$V$27,COLUMN(),TRUE)</f>
        <v>27303.7</v>
      </c>
      <c r="O88" s="48" t="str">
        <f>VLOOKUP($A88,'Página31'!$A$1:$V$27,COLUMN(),TRUE)</f>
        <v/>
      </c>
      <c r="P88" s="48">
        <f>VLOOKUP($A88,'Página31'!$A$1:$V$27,COLUMN(),TRUE)</f>
        <v>11989.62</v>
      </c>
      <c r="Q88" s="48" t="str">
        <f>VLOOKUP($A88,'Página31'!$A$1:$V$27,COLUMN(),TRUE)</f>
        <v/>
      </c>
      <c r="R88" s="48">
        <f>VLOOKUP($A88,'Página31'!$A$1:$V$27,COLUMN(),TRUE)</f>
        <v>27303.62</v>
      </c>
      <c r="S88" s="48" t="str">
        <f>VLOOKUP($A88,'Página31'!$A$1:$V$27,COLUMN(),TRUE)</f>
        <v/>
      </c>
      <c r="T88" s="73">
        <f t="shared" si="5"/>
        <v>2023</v>
      </c>
      <c r="U88" s="73">
        <f t="shared" si="6"/>
        <v>3</v>
      </c>
    </row>
    <row r="89">
      <c r="A89" s="34">
        <v>45017.0</v>
      </c>
      <c r="B89" s="48">
        <f t="shared" si="7"/>
        <v>17304.19</v>
      </c>
      <c r="C89" s="48">
        <f>ROUND(IF(MONTH($A89)=12,2.333,1)*VLOOKUP($A89,'Página31'!$A$1:$V$27,COLUMN(),TRUE),2)</f>
        <v>28810.18</v>
      </c>
      <c r="D89" s="48">
        <f t="shared" si="2"/>
        <v>27303.7</v>
      </c>
      <c r="E89" s="48">
        <f>ROUND(IF(MONTH($A89)=12,2.333,1)*VLOOKUP($A89,'Página31'!$A$1:$V$27,COLUMN(),TRUE),2)</f>
        <v>28810.18</v>
      </c>
      <c r="F89" s="48">
        <f>ROUND(IF(MONTH($A89)=12,2.333,1)*VLOOKUP($A89,'Página31'!$A$1:$V$27,COLUMN(),TRUE),2)</f>
        <v>0</v>
      </c>
      <c r="G89" s="48">
        <f t="shared" si="8"/>
        <v>14098.83</v>
      </c>
      <c r="H89" s="48">
        <f>ROUND(IF(MONTH($A89)=12,2.333,1)*VLOOKUP($A89,'Página31'!$A$1:$V$27,COLUMN(),TRUE),2)</f>
        <v>27675.26</v>
      </c>
      <c r="I89" s="48">
        <f t="shared" si="4"/>
        <v>27303.62</v>
      </c>
      <c r="J89" s="48">
        <f>ROUND(IF(MONTH($A89)=12,2.333,1)*VLOOKUP($A89,'Página31'!$A$1:$V$27,COLUMN(),TRUE),2)</f>
        <v>19666.59</v>
      </c>
      <c r="K89" s="48">
        <f>ROUND(IF(MONTH($A89)=12,2.333,1)*VLOOKUP($A89,'Página31'!$A$1:$V$27,COLUMN(),TRUE),2)</f>
        <v>18593.82</v>
      </c>
      <c r="L89" s="48" t="str">
        <f>VLOOKUP($A89,'Página31'!$A$1:$V$27,COLUMN(),TRUE)</f>
        <v/>
      </c>
      <c r="M89" s="48">
        <f>VLOOKUP($A89,'Página31'!$A$1:$V$27,COLUMN(),TRUE)</f>
        <v>17747.882</v>
      </c>
      <c r="N89" s="48">
        <f>VLOOKUP($A89,'Página31'!$A$1:$V$27,COLUMN(),TRUE)</f>
        <v>27303.7</v>
      </c>
      <c r="O89" s="48" t="str">
        <f>VLOOKUP($A89,'Página31'!$A$1:$V$27,COLUMN(),TRUE)</f>
        <v/>
      </c>
      <c r="P89" s="48">
        <f>VLOOKUP($A89,'Página31'!$A$1:$V$27,COLUMN(),TRUE)</f>
        <v>14098.83</v>
      </c>
      <c r="Q89" s="48" t="str">
        <f>VLOOKUP($A89,'Página31'!$A$1:$V$27,COLUMN(),TRUE)</f>
        <v/>
      </c>
      <c r="R89" s="48">
        <f>VLOOKUP($A89,'Página31'!$A$1:$V$27,COLUMN(),TRUE)</f>
        <v>27303.62</v>
      </c>
      <c r="S89" s="48" t="str">
        <f>VLOOKUP($A89,'Página31'!$A$1:$V$27,COLUMN(),TRUE)</f>
        <v/>
      </c>
      <c r="T89" s="73">
        <f t="shared" si="5"/>
        <v>2023</v>
      </c>
      <c r="U89" s="73">
        <f t="shared" si="6"/>
        <v>4</v>
      </c>
    </row>
    <row r="90">
      <c r="A90" s="34">
        <v>45047.0</v>
      </c>
      <c r="B90" s="48">
        <f t="shared" si="7"/>
        <v>18729.98</v>
      </c>
      <c r="C90" s="48">
        <f>ROUND(IF(MONTH($A90)=12,2.333,1)*VLOOKUP($A90,'Página31'!$A$1:$V$27,COLUMN(),TRUE),2)</f>
        <v>31403.09</v>
      </c>
      <c r="D90" s="48">
        <f t="shared" si="2"/>
        <v>29761.03</v>
      </c>
      <c r="E90" s="48">
        <f>ROUND(IF(MONTH($A90)=12,2.333,1)*VLOOKUP($A90,'Página31'!$A$1:$V$27,COLUMN(),TRUE),2)</f>
        <v>31403.09</v>
      </c>
      <c r="F90" s="48">
        <f>ROUND(IF(MONTH($A90)=12,2.333,1)*VLOOKUP($A90,'Página31'!$A$1:$V$27,COLUMN(),TRUE),2)</f>
        <v>0</v>
      </c>
      <c r="G90" s="48">
        <f t="shared" si="8"/>
        <v>11889.89</v>
      </c>
      <c r="H90" s="48">
        <f>ROUND(IF(MONTH($A90)=12,2.333,1)*VLOOKUP($A90,'Página31'!$A$1:$V$27,COLUMN(),TRUE),2)</f>
        <v>27572.67</v>
      </c>
      <c r="I90" s="48">
        <f t="shared" si="4"/>
        <v>29760.95</v>
      </c>
      <c r="J90" s="48">
        <f>ROUND(IF(MONTH($A90)=12,2.333,1)*VLOOKUP($A90,'Página31'!$A$1:$V$27,COLUMN(),TRUE),2)</f>
        <v>21125.46</v>
      </c>
      <c r="K90" s="48">
        <f>ROUND(IF(MONTH($A90)=12,2.333,1)*VLOOKUP($A90,'Página31'!$A$1:$V$27,COLUMN(),TRUE),2)</f>
        <v>20132.31</v>
      </c>
      <c r="L90" s="48" t="str">
        <f>VLOOKUP($A90,'Página31'!$A$1:$V$27,COLUMN(),TRUE)</f>
        <v/>
      </c>
      <c r="M90" s="48">
        <f>VLOOKUP($A90,'Página31'!$A$1:$V$27,COLUMN(),TRUE)</f>
        <v>19210.234</v>
      </c>
      <c r="N90" s="48">
        <f>VLOOKUP($A90,'Página31'!$A$1:$V$27,COLUMN(),TRUE)</f>
        <v>29761.03</v>
      </c>
      <c r="O90" s="48" t="str">
        <f>VLOOKUP($A90,'Página31'!$A$1:$V$27,COLUMN(),TRUE)</f>
        <v/>
      </c>
      <c r="P90" s="48">
        <f>VLOOKUP($A90,'Página31'!$A$1:$V$27,COLUMN(),TRUE)</f>
        <v>11889.89</v>
      </c>
      <c r="Q90" s="48" t="str">
        <f>VLOOKUP($A90,'Página31'!$A$1:$V$27,COLUMN(),TRUE)</f>
        <v/>
      </c>
      <c r="R90" s="48">
        <f>VLOOKUP($A90,'Página31'!$A$1:$V$27,COLUMN(),TRUE)</f>
        <v>29760.95</v>
      </c>
      <c r="S90" s="48" t="str">
        <f>VLOOKUP($A90,'Página31'!$A$1:$V$27,COLUMN(),TRUE)</f>
        <v/>
      </c>
      <c r="T90" s="73">
        <f t="shared" si="5"/>
        <v>2023</v>
      </c>
      <c r="U90" s="73">
        <f t="shared" si="6"/>
        <v>5</v>
      </c>
    </row>
    <row r="91">
      <c r="A91" s="34">
        <v>45078.0</v>
      </c>
      <c r="B91" s="48">
        <f t="shared" si="7"/>
        <v>18729.98</v>
      </c>
      <c r="C91" s="48">
        <f>ROUND(IF(MONTH($A91)=12,2.333,1)*VLOOKUP($A91,'Página31'!$A$1:$V$27,COLUMN(),TRUE),2)</f>
        <v>31403.09</v>
      </c>
      <c r="D91" s="48">
        <f t="shared" si="2"/>
        <v>29761.03</v>
      </c>
      <c r="E91" s="48">
        <f>ROUND(IF(MONTH($A91)=12,2.333,1)*VLOOKUP($A91,'Página31'!$A$1:$V$27,COLUMN(),TRUE),2)</f>
        <v>31403.09</v>
      </c>
      <c r="F91" s="48">
        <f>ROUND(IF(MONTH($A91)=12,2.333,1)*VLOOKUP($A91,'Página31'!$A$1:$V$27,COLUMN(),TRUE),2)</f>
        <v>0</v>
      </c>
      <c r="G91" s="48">
        <f t="shared" si="8"/>
        <v>11889.89</v>
      </c>
      <c r="H91" s="48">
        <f>ROUND(IF(MONTH($A91)=12,2.333,1)*VLOOKUP($A91,'Página31'!$A$1:$V$27,COLUMN(),TRUE),2)</f>
        <v>27572.67</v>
      </c>
      <c r="I91" s="48">
        <f t="shared" si="4"/>
        <v>29760.95</v>
      </c>
      <c r="J91" s="48">
        <f>ROUND(IF(MONTH($A91)=12,2.333,1)*VLOOKUP($A91,'Página31'!$A$1:$V$27,COLUMN(),TRUE),2)</f>
        <v>21125.46</v>
      </c>
      <c r="K91" s="48">
        <f>ROUND(IF(MONTH($A91)=12,2.333,1)*VLOOKUP($A91,'Página31'!$A$1:$V$27,COLUMN(),TRUE),2)</f>
        <v>20132.31</v>
      </c>
      <c r="L91" s="48" t="str">
        <f>VLOOKUP($A91,'Página31'!$A$1:$V$27,COLUMN(),TRUE)</f>
        <v/>
      </c>
      <c r="M91" s="48">
        <f>VLOOKUP($A91,'Página31'!$A$1:$V$27,COLUMN(),TRUE)</f>
        <v>19210.234</v>
      </c>
      <c r="N91" s="48">
        <f>VLOOKUP($A91,'Página31'!$A$1:$V$27,COLUMN(),TRUE)</f>
        <v>29761.03</v>
      </c>
      <c r="O91" s="48" t="str">
        <f>VLOOKUP($A91,'Página31'!$A$1:$V$27,COLUMN(),TRUE)</f>
        <v/>
      </c>
      <c r="P91" s="48">
        <f>VLOOKUP($A91,'Página31'!$A$1:$V$27,COLUMN(),TRUE)</f>
        <v>11889.89</v>
      </c>
      <c r="Q91" s="48" t="str">
        <f>VLOOKUP($A91,'Página31'!$A$1:$V$27,COLUMN(),TRUE)</f>
        <v/>
      </c>
      <c r="R91" s="48">
        <f>VLOOKUP($A91,'Página31'!$A$1:$V$27,COLUMN(),TRUE)</f>
        <v>29760.95</v>
      </c>
      <c r="S91" s="48" t="str">
        <f>VLOOKUP($A91,'Página31'!$A$1:$V$27,COLUMN(),TRUE)</f>
        <v/>
      </c>
      <c r="T91" s="73">
        <f t="shared" si="5"/>
        <v>2023</v>
      </c>
      <c r="U91" s="73">
        <f t="shared" si="6"/>
        <v>6</v>
      </c>
    </row>
    <row r="92">
      <c r="A92" s="34">
        <v>45108.0</v>
      </c>
      <c r="B92" s="48">
        <f t="shared" si="7"/>
        <v>18729.98</v>
      </c>
      <c r="C92" s="48">
        <f>ROUND(IF(MONTH($A92)=12,2.333,1)*VLOOKUP($A92,'Página31'!$A$1:$V$27,COLUMN(),TRUE),2)</f>
        <v>31403.09</v>
      </c>
      <c r="D92" s="48">
        <f t="shared" si="2"/>
        <v>29761.03</v>
      </c>
      <c r="E92" s="48">
        <f>ROUND(IF(MONTH($A92)=12,2.333,1)*VLOOKUP($A92,'Página31'!$A$1:$V$27,COLUMN(),TRUE),2)</f>
        <v>31403.09</v>
      </c>
      <c r="F92" s="48">
        <f>ROUND(IF(MONTH($A92)=12,2.333,1)*VLOOKUP($A92,'Página31'!$A$1:$V$27,COLUMN(),TRUE),2)</f>
        <v>0</v>
      </c>
      <c r="G92" s="48">
        <f t="shared" si="8"/>
        <v>11889.89</v>
      </c>
      <c r="H92" s="48">
        <f>ROUND(IF(MONTH($A92)=12,2.333,1)*VLOOKUP($A92,'Página31'!$A$1:$V$27,COLUMN(),TRUE),2)</f>
        <v>27572.67</v>
      </c>
      <c r="I92" s="48">
        <f t="shared" si="4"/>
        <v>29760.95</v>
      </c>
      <c r="J92" s="48">
        <f>ROUND(IF(MONTH($A92)=12,2.333,1)*VLOOKUP($A92,'Página31'!$A$1:$V$27,COLUMN(),TRUE),2)</f>
        <v>21125.46</v>
      </c>
      <c r="K92" s="48">
        <f>ROUND(IF(MONTH($A92)=12,2.333,1)*VLOOKUP($A92,'Página31'!$A$1:$V$27,COLUMN(),TRUE),2)</f>
        <v>20132.31</v>
      </c>
      <c r="L92" s="48" t="str">
        <f>VLOOKUP($A92,'Página31'!$A$1:$V$27,COLUMN(),TRUE)</f>
        <v/>
      </c>
      <c r="M92" s="48">
        <f>VLOOKUP($A92,'Página31'!$A$1:$V$27,COLUMN(),TRUE)</f>
        <v>19210.234</v>
      </c>
      <c r="N92" s="48">
        <f>VLOOKUP($A92,'Página31'!$A$1:$V$27,COLUMN(),TRUE)</f>
        <v>29761.03</v>
      </c>
      <c r="O92" s="48" t="str">
        <f>VLOOKUP($A92,'Página31'!$A$1:$V$27,COLUMN(),TRUE)</f>
        <v/>
      </c>
      <c r="P92" s="48">
        <f>VLOOKUP($A92,'Página31'!$A$1:$V$27,COLUMN(),TRUE)</f>
        <v>11889.89</v>
      </c>
      <c r="Q92" s="48" t="str">
        <f>VLOOKUP($A92,'Página31'!$A$1:$V$27,COLUMN(),TRUE)</f>
        <v/>
      </c>
      <c r="R92" s="48">
        <f>VLOOKUP($A92,'Página31'!$A$1:$V$27,COLUMN(),TRUE)</f>
        <v>29760.95</v>
      </c>
      <c r="S92" s="48" t="str">
        <f>VLOOKUP($A92,'Página31'!$A$1:$V$27,COLUMN(),TRUE)</f>
        <v/>
      </c>
      <c r="T92" s="73">
        <f t="shared" si="5"/>
        <v>2023</v>
      </c>
      <c r="U92" s="73">
        <f t="shared" si="6"/>
        <v>7</v>
      </c>
    </row>
    <row r="93">
      <c r="A93" s="34">
        <v>45139.0</v>
      </c>
      <c r="B93" s="48">
        <f t="shared" si="7"/>
        <v>18729.98</v>
      </c>
      <c r="C93" s="48">
        <f>ROUND(IF(MONTH($A93)=12,2.333,1)*VLOOKUP($A93,'Página31'!$A$1:$V$27,COLUMN(),TRUE),2)</f>
        <v>31403.09</v>
      </c>
      <c r="D93" s="48">
        <f t="shared" si="2"/>
        <v>29761.03</v>
      </c>
      <c r="E93" s="48">
        <f>ROUND(IF(MONTH($A93)=12,2.333,1)*VLOOKUP($A93,'Página31'!$A$1:$V$27,COLUMN(),TRUE),2)</f>
        <v>31403.09</v>
      </c>
      <c r="F93" s="48">
        <f>ROUND(IF(MONTH($A93)=12,2.333,1)*VLOOKUP($A93,'Página31'!$A$1:$V$27,COLUMN(),TRUE),2)</f>
        <v>0</v>
      </c>
      <c r="G93" s="48">
        <f t="shared" si="8"/>
        <v>11889.89</v>
      </c>
      <c r="H93" s="48">
        <f>ROUND(IF(MONTH($A93)=12,2.333,1)*VLOOKUP($A93,'Página31'!$A$1:$V$27,COLUMN(),TRUE),2)</f>
        <v>27572.67</v>
      </c>
      <c r="I93" s="48">
        <f t="shared" si="4"/>
        <v>29760.95</v>
      </c>
      <c r="J93" s="48">
        <f>ROUND(IF(MONTH($A93)=12,2.333,1)*VLOOKUP($A93,'Página31'!$A$1:$V$27,COLUMN(),TRUE),2)</f>
        <v>21125.46</v>
      </c>
      <c r="K93" s="48">
        <f>ROUND(IF(MONTH($A93)=12,2.333,1)*VLOOKUP($A93,'Página31'!$A$1:$V$27,COLUMN(),TRUE),2)</f>
        <v>20132.31</v>
      </c>
      <c r="L93" s="48" t="str">
        <f>VLOOKUP($A93,'Página31'!$A$1:$V$27,COLUMN(),TRUE)</f>
        <v/>
      </c>
      <c r="M93" s="48">
        <f>VLOOKUP($A93,'Página31'!$A$1:$V$27,COLUMN(),TRUE)</f>
        <v>19210.234</v>
      </c>
      <c r="N93" s="48">
        <f>VLOOKUP($A93,'Página31'!$A$1:$V$27,COLUMN(),TRUE)</f>
        <v>29761.03</v>
      </c>
      <c r="O93" s="48" t="str">
        <f>VLOOKUP($A93,'Página31'!$A$1:$V$27,COLUMN(),TRUE)</f>
        <v/>
      </c>
      <c r="P93" s="48">
        <f>VLOOKUP($A93,'Página31'!$A$1:$V$27,COLUMN(),TRUE)</f>
        <v>11889.89</v>
      </c>
      <c r="Q93" s="48" t="str">
        <f>VLOOKUP($A93,'Página31'!$A$1:$V$27,COLUMN(),TRUE)</f>
        <v/>
      </c>
      <c r="R93" s="48">
        <f>VLOOKUP($A93,'Página31'!$A$1:$V$27,COLUMN(),TRUE)</f>
        <v>29760.95</v>
      </c>
      <c r="S93" s="48" t="str">
        <f>VLOOKUP($A93,'Página31'!$A$1:$V$27,COLUMN(),TRUE)</f>
        <v/>
      </c>
      <c r="T93" s="73">
        <f t="shared" si="5"/>
        <v>2023</v>
      </c>
      <c r="U93" s="73">
        <f t="shared" si="6"/>
        <v>8</v>
      </c>
    </row>
    <row r="94">
      <c r="A94" s="34">
        <v>45170.0</v>
      </c>
      <c r="B94" s="48">
        <f t="shared" si="7"/>
        <v>18729.98</v>
      </c>
      <c r="C94" s="48">
        <f>ROUND(IF(MONTH($A94)=12,2.333,1)*VLOOKUP($A94,'Página31'!$A$1:$V$27,COLUMN(),TRUE),2)</f>
        <v>31403.09</v>
      </c>
      <c r="D94" s="48">
        <f t="shared" si="2"/>
        <v>29761.03</v>
      </c>
      <c r="E94" s="48">
        <f>ROUND(IF(MONTH($A94)=12,2.333,1)*VLOOKUP($A94,'Página31'!$A$1:$V$27,COLUMN(),TRUE),2)</f>
        <v>31403.09</v>
      </c>
      <c r="F94" s="48">
        <f>ROUND(IF(MONTH($A94)=12,2.333,1)*VLOOKUP($A94,'Página31'!$A$1:$V$27,COLUMN(),TRUE),2)</f>
        <v>0</v>
      </c>
      <c r="G94" s="48">
        <f t="shared" si="8"/>
        <v>11889.89</v>
      </c>
      <c r="H94" s="48">
        <f>ROUND(IF(MONTH($A94)=12,2.333,1)*VLOOKUP($A94,'Página31'!$A$1:$V$27,COLUMN(),TRUE),2)</f>
        <v>27572.67</v>
      </c>
      <c r="I94" s="48">
        <f t="shared" si="4"/>
        <v>29760.95</v>
      </c>
      <c r="J94" s="48">
        <f>ROUND(IF(MONTH($A94)=12,2.333,1)*VLOOKUP($A94,'Página31'!$A$1:$V$27,COLUMN(),TRUE),2)</f>
        <v>21125.46</v>
      </c>
      <c r="K94" s="48">
        <f>ROUND(IF(MONTH($A94)=12,2.333,1)*VLOOKUP($A94,'Página31'!$A$1:$V$27,COLUMN(),TRUE),2)</f>
        <v>20132.31</v>
      </c>
      <c r="L94" s="48" t="str">
        <f>VLOOKUP($A94,'Página31'!$A$1:$V$27,COLUMN(),TRUE)</f>
        <v/>
      </c>
      <c r="M94" s="48">
        <f>VLOOKUP($A94,'Página31'!$A$1:$V$27,COLUMN(),TRUE)</f>
        <v>19210.234</v>
      </c>
      <c r="N94" s="48">
        <f>VLOOKUP($A94,'Página31'!$A$1:$V$27,COLUMN(),TRUE)</f>
        <v>29761.03</v>
      </c>
      <c r="O94" s="48" t="str">
        <f>VLOOKUP($A94,'Página31'!$A$1:$V$27,COLUMN(),TRUE)</f>
        <v/>
      </c>
      <c r="P94" s="48">
        <f>VLOOKUP($A94,'Página31'!$A$1:$V$27,COLUMN(),TRUE)</f>
        <v>11889.89</v>
      </c>
      <c r="Q94" s="48" t="str">
        <f>VLOOKUP($A94,'Página31'!$A$1:$V$27,COLUMN(),TRUE)</f>
        <v/>
      </c>
      <c r="R94" s="48">
        <f>VLOOKUP($A94,'Página31'!$A$1:$V$27,COLUMN(),TRUE)</f>
        <v>29760.95</v>
      </c>
      <c r="S94" s="48" t="str">
        <f>VLOOKUP($A94,'Página31'!$A$1:$V$27,COLUMN(),TRUE)</f>
        <v/>
      </c>
      <c r="T94" s="73">
        <f t="shared" si="5"/>
        <v>2023</v>
      </c>
      <c r="U94" s="73">
        <f t="shared" si="6"/>
        <v>9</v>
      </c>
    </row>
    <row r="95">
      <c r="A95" s="34">
        <v>45200.0</v>
      </c>
      <c r="B95" s="48">
        <f t="shared" si="7"/>
        <v>18729.98</v>
      </c>
      <c r="C95" s="48">
        <f>ROUND(IF(MONTH($A95)=12,2.333,1)*VLOOKUP($A95,'Página31'!$A$1:$V$27,COLUMN(),TRUE),2)</f>
        <v>31403.09</v>
      </c>
      <c r="D95" s="48">
        <f t="shared" si="2"/>
        <v>29761.03</v>
      </c>
      <c r="E95" s="48">
        <f>ROUND(IF(MONTH($A95)=12,2.333,1)*VLOOKUP($A95,'Página31'!$A$1:$V$27,COLUMN(),TRUE),2)</f>
        <v>31403.09</v>
      </c>
      <c r="F95" s="48">
        <f>ROUND(IF(MONTH($A95)=12,2.333,1)*VLOOKUP($A95,'Página31'!$A$1:$V$27,COLUMN(),TRUE),2)</f>
        <v>0</v>
      </c>
      <c r="G95" s="48">
        <f t="shared" si="8"/>
        <v>11889.89</v>
      </c>
      <c r="H95" s="48">
        <f>ROUND(IF(MONTH($A95)=12,2.333,1)*VLOOKUP($A95,'Página31'!$A$1:$V$27,COLUMN(),TRUE),2)</f>
        <v>27572.67</v>
      </c>
      <c r="I95" s="48">
        <f t="shared" si="4"/>
        <v>29760.95</v>
      </c>
      <c r="J95" s="48">
        <f>ROUND(IF(MONTH($A95)=12,2.333,1)*VLOOKUP($A95,'Página31'!$A$1:$V$27,COLUMN(),TRUE),2)</f>
        <v>21125.46</v>
      </c>
      <c r="K95" s="48">
        <f>ROUND(IF(MONTH($A95)=12,2.333,1)*VLOOKUP($A95,'Página31'!$A$1:$V$27,COLUMN(),TRUE),2)</f>
        <v>20132.31</v>
      </c>
      <c r="L95" s="48" t="str">
        <f>VLOOKUP($A95,'Página31'!$A$1:$V$27,COLUMN(),TRUE)</f>
        <v/>
      </c>
      <c r="M95" s="48">
        <f>VLOOKUP($A95,'Página31'!$A$1:$V$27,COLUMN(),TRUE)</f>
        <v>19210.234</v>
      </c>
      <c r="N95" s="48">
        <f>VLOOKUP($A95,'Página31'!$A$1:$V$27,COLUMN(),TRUE)</f>
        <v>29761.03</v>
      </c>
      <c r="O95" s="48" t="str">
        <f>VLOOKUP($A95,'Página31'!$A$1:$V$27,COLUMN(),TRUE)</f>
        <v/>
      </c>
      <c r="P95" s="48">
        <f>VLOOKUP($A95,'Página31'!$A$1:$V$27,COLUMN(),TRUE)</f>
        <v>11889.89</v>
      </c>
      <c r="Q95" s="48" t="str">
        <f>VLOOKUP($A95,'Página31'!$A$1:$V$27,COLUMN(),TRUE)</f>
        <v/>
      </c>
      <c r="R95" s="48">
        <f>VLOOKUP($A95,'Página31'!$A$1:$V$27,COLUMN(),TRUE)</f>
        <v>29760.95</v>
      </c>
      <c r="S95" s="48" t="str">
        <f>VLOOKUP($A95,'Página31'!$A$1:$V$27,COLUMN(),TRUE)</f>
        <v/>
      </c>
      <c r="T95" s="73">
        <f t="shared" si="5"/>
        <v>2023</v>
      </c>
      <c r="U95" s="73">
        <f t="shared" si="6"/>
        <v>10</v>
      </c>
    </row>
    <row r="96">
      <c r="A96" s="34">
        <v>45231.0</v>
      </c>
      <c r="B96" s="48">
        <f t="shared" si="7"/>
        <v>18729.98</v>
      </c>
      <c r="C96" s="48">
        <f>ROUND(IF(MONTH($A96)=12,2.333,1)*VLOOKUP($A96,'Página31'!$A$1:$V$27,COLUMN(),TRUE),2)</f>
        <v>31403.09</v>
      </c>
      <c r="D96" s="48">
        <f t="shared" si="2"/>
        <v>29761.03</v>
      </c>
      <c r="E96" s="48">
        <f>ROUND(IF(MONTH($A96)=12,2.333,1)*VLOOKUP($A96,'Página31'!$A$1:$V$27,COLUMN(),TRUE),2)</f>
        <v>31403.09</v>
      </c>
      <c r="F96" s="48">
        <f>ROUND(IF(MONTH($A96)=12,2.333,1)*VLOOKUP($A96,'Página31'!$A$1:$V$27,COLUMN(),TRUE),2)</f>
        <v>0</v>
      </c>
      <c r="G96" s="48">
        <f t="shared" si="8"/>
        <v>11889.89</v>
      </c>
      <c r="H96" s="48">
        <f>ROUND(IF(MONTH($A96)=12,2.333,1)*VLOOKUP($A96,'Página31'!$A$1:$V$27,COLUMN(),TRUE),2)</f>
        <v>27572.67</v>
      </c>
      <c r="I96" s="48">
        <f t="shared" si="4"/>
        <v>29760.95</v>
      </c>
      <c r="J96" s="48">
        <f>ROUND(IF(MONTH($A96)=12,2.333,1)*VLOOKUP($A96,'Página31'!$A$1:$V$27,COLUMN(),TRUE),2)</f>
        <v>21125.46</v>
      </c>
      <c r="K96" s="48">
        <f>ROUND(IF(MONTH($A96)=12,2.333,1)*VLOOKUP($A96,'Página31'!$A$1:$V$27,COLUMN(),TRUE),2)</f>
        <v>20132.31</v>
      </c>
      <c r="L96" s="48" t="str">
        <f>VLOOKUP($A96,'Página31'!$A$1:$V$27,COLUMN(),TRUE)</f>
        <v/>
      </c>
      <c r="M96" s="48">
        <f>VLOOKUP($A96,'Página31'!$A$1:$V$27,COLUMN(),TRUE)</f>
        <v>19210.234</v>
      </c>
      <c r="N96" s="48">
        <f>VLOOKUP($A96,'Página31'!$A$1:$V$27,COLUMN(),TRUE)</f>
        <v>29761.03</v>
      </c>
      <c r="O96" s="48" t="str">
        <f>VLOOKUP($A96,'Página31'!$A$1:$V$27,COLUMN(),TRUE)</f>
        <v/>
      </c>
      <c r="P96" s="48">
        <f>VLOOKUP($A96,'Página31'!$A$1:$V$27,COLUMN(),TRUE)</f>
        <v>11889.89</v>
      </c>
      <c r="Q96" s="48" t="str">
        <f>VLOOKUP($A96,'Página31'!$A$1:$V$27,COLUMN(),TRUE)</f>
        <v/>
      </c>
      <c r="R96" s="48">
        <f>VLOOKUP($A96,'Página31'!$A$1:$V$27,COLUMN(),TRUE)</f>
        <v>29760.95</v>
      </c>
      <c r="S96" s="48" t="str">
        <f>VLOOKUP($A96,'Página31'!$A$1:$V$27,COLUMN(),TRUE)</f>
        <v/>
      </c>
      <c r="T96" s="73">
        <f t="shared" si="5"/>
        <v>2023</v>
      </c>
      <c r="U96" s="73">
        <f t="shared" si="6"/>
        <v>11</v>
      </c>
    </row>
    <row r="97">
      <c r="A97" s="34">
        <v>45261.0</v>
      </c>
      <c r="B97" s="48">
        <f t="shared" si="7"/>
        <v>43697.04</v>
      </c>
      <c r="C97" s="48">
        <f>ROUND(IF(MONTH($A97)=12,2.333,1)*VLOOKUP($A97,'Página31'!$A$1:$V$27,COLUMN(),TRUE),2)</f>
        <v>73263.42</v>
      </c>
      <c r="D97" s="48">
        <f t="shared" si="2"/>
        <v>69432.48</v>
      </c>
      <c r="E97" s="48">
        <f>ROUND(IF(MONTH($A97)=12,2.333,1)*VLOOKUP($A97,'Página31'!$A$1:$V$27,COLUMN(),TRUE),2)</f>
        <v>73263.42</v>
      </c>
      <c r="F97" s="48">
        <f>ROUND(IF(MONTH($A97)=12,2.333,1)*VLOOKUP($A97,'Página31'!$A$1:$V$27,COLUMN(),TRUE),2)</f>
        <v>0</v>
      </c>
      <c r="G97" s="48">
        <f t="shared" si="8"/>
        <v>27739.11</v>
      </c>
      <c r="H97" s="48">
        <f>ROUND(IF(MONTH($A97)=12,2.333,1)*VLOOKUP($A97,'Página31'!$A$1:$V$27,COLUMN(),TRUE),2)</f>
        <v>64327.05</v>
      </c>
      <c r="I97" s="48">
        <f t="shared" si="4"/>
        <v>69432.3</v>
      </c>
      <c r="J97" s="48">
        <f>ROUND(IF(MONTH($A97)=12,2.333,1)*VLOOKUP($A97,'Página31'!$A$1:$V$27,COLUMN(),TRUE),2)</f>
        <v>49285.7</v>
      </c>
      <c r="K97" s="48">
        <f>ROUND(IF(MONTH($A97)=12,2.333,1)*VLOOKUP($A97,'Página31'!$A$1:$V$27,COLUMN(),TRUE),2)</f>
        <v>46968.67</v>
      </c>
      <c r="L97" s="48" t="str">
        <f>VLOOKUP($A97,'Página31'!$A$1:$V$27,COLUMN(),TRUE)</f>
        <v/>
      </c>
      <c r="M97" s="48">
        <f>VLOOKUP($A97,'Página31'!$A$1:$V$27,COLUMN(),TRUE)</f>
        <v>19210.234</v>
      </c>
      <c r="N97" s="48">
        <f>VLOOKUP($A97,'Página31'!$A$1:$V$27,COLUMN(),TRUE)</f>
        <v>29761.03</v>
      </c>
      <c r="O97" s="48" t="str">
        <f>VLOOKUP($A97,'Página31'!$A$1:$V$27,COLUMN(),TRUE)</f>
        <v/>
      </c>
      <c r="P97" s="48">
        <f>VLOOKUP($A97,'Página31'!$A$1:$V$27,COLUMN(),TRUE)</f>
        <v>11889.89</v>
      </c>
      <c r="Q97" s="48" t="str">
        <f>VLOOKUP($A97,'Página31'!$A$1:$V$27,COLUMN(),TRUE)</f>
        <v/>
      </c>
      <c r="R97" s="48">
        <f>VLOOKUP($A97,'Página31'!$A$1:$V$27,COLUMN(),TRUE)</f>
        <v>29760.95</v>
      </c>
      <c r="S97" s="48" t="str">
        <f>VLOOKUP($A97,'Página31'!$A$1:$V$27,COLUMN(),TRUE)</f>
        <v/>
      </c>
      <c r="T97" s="73">
        <f t="shared" si="5"/>
        <v>2023</v>
      </c>
      <c r="U97" s="73">
        <f t="shared" si="6"/>
        <v>12</v>
      </c>
    </row>
    <row r="98">
      <c r="A98" s="34">
        <v>45292.0</v>
      </c>
      <c r="B98" s="48">
        <f t="shared" si="7"/>
        <v>18759.62</v>
      </c>
      <c r="C98" s="48">
        <f>ROUND(IF(MONTH($A98)=12,2.333,1)*VLOOKUP($A98,'Página31'!$A$1:$V$27,COLUMN(),TRUE),2)</f>
        <v>31403.09</v>
      </c>
      <c r="D98" s="48">
        <f t="shared" si="2"/>
        <v>29761.03</v>
      </c>
      <c r="E98" s="48">
        <f>ROUND(IF(MONTH($A98)=12,2.333,1)*VLOOKUP($A98,'Página31'!$A$1:$V$27,COLUMN(),TRUE),2)</f>
        <v>31403.09</v>
      </c>
      <c r="F98" s="48">
        <f>ROUND(IF(MONTH($A98)=12,2.333,1)*VLOOKUP($A98,'Página31'!$A$1:$V$27,COLUMN(),TRUE),2)</f>
        <v>0</v>
      </c>
      <c r="G98" s="48">
        <f t="shared" si="8"/>
        <v>11889.89</v>
      </c>
      <c r="H98" s="48">
        <f>ROUND(IF(MONTH($A98)=12,2.333,1)*VLOOKUP($A98,'Página31'!$A$1:$V$27,COLUMN(),TRUE),2)</f>
        <v>27603.06</v>
      </c>
      <c r="I98" s="48">
        <f t="shared" si="4"/>
        <v>29760.95</v>
      </c>
      <c r="J98" s="48">
        <f>ROUND(IF(MONTH($A98)=12,2.333,1)*VLOOKUP($A98,'Página31'!$A$1:$V$27,COLUMN(),TRUE),2)</f>
        <v>21155.85</v>
      </c>
      <c r="K98" s="48">
        <f>ROUND(IF(MONTH($A98)=12,2.333,1)*VLOOKUP($A98,'Página31'!$A$1:$V$27,COLUMN(),TRUE),2)</f>
        <v>20162.7</v>
      </c>
      <c r="L98" s="48" t="str">
        <f>VLOOKUP($A98,'Página31'!$A$1:$V$27,COLUMN(),TRUE)</f>
        <v/>
      </c>
      <c r="M98" s="48">
        <f>VLOOKUP($A98,'Página31'!$A$1:$V$27,COLUMN(),TRUE)</f>
        <v>19240.626</v>
      </c>
      <c r="N98" s="48">
        <f>VLOOKUP($A98,'Página31'!$A$1:$V$27,COLUMN(),TRUE)</f>
        <v>29761.03</v>
      </c>
      <c r="O98" s="48" t="str">
        <f>VLOOKUP($A98,'Página31'!$A$1:$V$27,COLUMN(),TRUE)</f>
        <v/>
      </c>
      <c r="P98" s="48">
        <f>VLOOKUP($A98,'Página31'!$A$1:$V$27,COLUMN(),TRUE)</f>
        <v>11889.89</v>
      </c>
      <c r="Q98" s="48" t="str">
        <f>VLOOKUP($A98,'Página31'!$A$1:$V$27,COLUMN(),TRUE)</f>
        <v/>
      </c>
      <c r="R98" s="48">
        <f>VLOOKUP($A98,'Página31'!$A$1:$V$27,COLUMN(),TRUE)</f>
        <v>29760.95</v>
      </c>
      <c r="S98" s="48" t="str">
        <f>VLOOKUP($A98,'Página31'!$A$1:$V$27,COLUMN(),TRUE)</f>
        <v/>
      </c>
      <c r="T98" s="73">
        <f t="shared" si="5"/>
        <v>2024</v>
      </c>
      <c r="U98" s="73">
        <f t="shared" si="6"/>
        <v>1</v>
      </c>
    </row>
    <row r="99">
      <c r="A99" s="34">
        <v>45323.0</v>
      </c>
      <c r="B99" s="48">
        <f t="shared" si="7"/>
        <v>18770.38</v>
      </c>
      <c r="C99" s="48">
        <f>ROUND(IF(MONTH($A99)=12,2.333,1)*VLOOKUP($A99,'Página31'!$A$1:$V$27,COLUMN(),TRUE),2)</f>
        <v>31403.09</v>
      </c>
      <c r="D99" s="48">
        <f t="shared" si="2"/>
        <v>29761.03</v>
      </c>
      <c r="E99" s="48">
        <f>ROUND(IF(MONTH($A99)=12,2.333,1)*VLOOKUP($A99,'Página31'!$A$1:$V$27,COLUMN(),TRUE),2)</f>
        <v>31403.09</v>
      </c>
      <c r="F99" s="48">
        <f>ROUND(IF(MONTH($A99)=12,2.333,1)*VLOOKUP($A99,'Página31'!$A$1:$V$27,COLUMN(),TRUE),2)</f>
        <v>0</v>
      </c>
      <c r="G99" s="48">
        <f t="shared" si="8"/>
        <v>14247.49</v>
      </c>
      <c r="H99" s="48">
        <f>ROUND(IF(MONTH($A99)=12,2.333,1)*VLOOKUP($A99,'Página31'!$A$1:$V$27,COLUMN(),TRUE),2)</f>
        <v>29280.63</v>
      </c>
      <c r="I99" s="48">
        <f t="shared" si="4"/>
        <v>29760.95</v>
      </c>
      <c r="J99" s="48">
        <f>ROUND(IF(MONTH($A99)=12,2.333,1)*VLOOKUP($A99,'Página31'!$A$1:$V$27,COLUMN(),TRUE),2)</f>
        <v>22145.64</v>
      </c>
      <c r="K99" s="48">
        <f>ROUND(IF(MONTH($A99)=12,2.333,1)*VLOOKUP($A99,'Página31'!$A$1:$V$27,COLUMN(),TRUE),2)</f>
        <v>20173.74</v>
      </c>
      <c r="L99" s="48" t="str">
        <f>VLOOKUP($A99,'Página31'!$A$1:$V$27,COLUMN(),TRUE)</f>
        <v/>
      </c>
      <c r="M99" s="48">
        <f>VLOOKUP($A99,'Página31'!$A$1:$V$27,COLUMN(),TRUE)</f>
        <v>19251.666</v>
      </c>
      <c r="N99" s="48">
        <f>VLOOKUP($A99,'Página31'!$A$1:$V$27,COLUMN(),TRUE)</f>
        <v>29761.03</v>
      </c>
      <c r="O99" s="48" t="str">
        <f>VLOOKUP($A99,'Página31'!$A$1:$V$27,COLUMN(),TRUE)</f>
        <v/>
      </c>
      <c r="P99" s="48">
        <f>VLOOKUP($A99,'Página31'!$A$1:$V$27,COLUMN(),TRUE)</f>
        <v>14247.49</v>
      </c>
      <c r="Q99" s="48" t="str">
        <f>VLOOKUP($A99,'Página31'!$A$1:$V$27,COLUMN(),TRUE)</f>
        <v/>
      </c>
      <c r="R99" s="48">
        <f>VLOOKUP($A99,'Página31'!$A$1:$V$27,COLUMN(),TRUE)</f>
        <v>29760.95</v>
      </c>
      <c r="S99" s="48" t="str">
        <f>VLOOKUP($A99,'Página31'!$A$1:$V$27,COLUMN(),TRUE)</f>
        <v/>
      </c>
      <c r="T99" s="73">
        <f t="shared" si="5"/>
        <v>2024</v>
      </c>
      <c r="U99" s="73">
        <f t="shared" si="6"/>
        <v>2</v>
      </c>
    </row>
    <row r="100">
      <c r="A100" s="34">
        <v>45352.0</v>
      </c>
      <c r="B100" s="48">
        <f t="shared" si="7"/>
        <v>18770.38</v>
      </c>
      <c r="C100" s="48">
        <f>ROUND(IF(MONTH($A100)=12,2.333,1)*VLOOKUP($A100,'Página31'!$A$1:$V$27,COLUMN(),TRUE),2)</f>
        <v>31403.09</v>
      </c>
      <c r="D100" s="48">
        <f t="shared" si="2"/>
        <v>29761.03</v>
      </c>
      <c r="E100" s="48">
        <f>ROUND(IF(MONTH($A100)=12,2.333,1)*VLOOKUP($A100,'Página31'!$A$1:$V$27,COLUMN(),TRUE),2)</f>
        <v>31403.09</v>
      </c>
      <c r="F100" s="48">
        <f>ROUND(IF(MONTH($A100)=12,2.333,1)*VLOOKUP($A100,'Página31'!$A$1:$V$27,COLUMN(),TRUE),2)</f>
        <v>0</v>
      </c>
      <c r="G100" s="48">
        <f t="shared" si="8"/>
        <v>14247.49</v>
      </c>
      <c r="H100" s="48">
        <f>ROUND(IF(MONTH($A100)=12,2.333,1)*VLOOKUP($A100,'Página31'!$A$1:$V$27,COLUMN(),TRUE),2)</f>
        <v>29280.63</v>
      </c>
      <c r="I100" s="48">
        <f t="shared" si="4"/>
        <v>29760.95</v>
      </c>
      <c r="J100" s="48">
        <f>ROUND(IF(MONTH($A100)=12,2.333,1)*VLOOKUP($A100,'Página31'!$A$1:$V$27,COLUMN(),TRUE),2)</f>
        <v>22145.64</v>
      </c>
      <c r="K100" s="48">
        <f>ROUND(IF(MONTH($A100)=12,2.333,1)*VLOOKUP($A100,'Página31'!$A$1:$V$27,COLUMN(),TRUE),2)</f>
        <v>20173.74</v>
      </c>
      <c r="L100" s="48" t="str">
        <f>VLOOKUP($A100,'Página31'!$A$1:$V$27,COLUMN(),TRUE)</f>
        <v/>
      </c>
      <c r="M100" s="48">
        <f>VLOOKUP($A100,'Página31'!$A$1:$V$27,COLUMN(),TRUE)</f>
        <v>19251.666</v>
      </c>
      <c r="N100" s="48">
        <f>VLOOKUP($A100,'Página31'!$A$1:$V$27,COLUMN(),TRUE)</f>
        <v>29761.03</v>
      </c>
      <c r="O100" s="48" t="str">
        <f>VLOOKUP($A100,'Página31'!$A$1:$V$27,COLUMN(),TRUE)</f>
        <v/>
      </c>
      <c r="P100" s="48">
        <f>VLOOKUP($A100,'Página31'!$A$1:$V$27,COLUMN(),TRUE)</f>
        <v>14247.49</v>
      </c>
      <c r="Q100" s="48" t="str">
        <f>VLOOKUP($A100,'Página31'!$A$1:$V$27,COLUMN(),TRUE)</f>
        <v/>
      </c>
      <c r="R100" s="48">
        <f>VLOOKUP($A100,'Página31'!$A$1:$V$27,COLUMN(),TRUE)</f>
        <v>29760.95</v>
      </c>
      <c r="S100" s="48" t="str">
        <f>VLOOKUP($A100,'Página31'!$A$1:$V$27,COLUMN(),TRUE)</f>
        <v/>
      </c>
      <c r="T100" s="73">
        <f t="shared" si="5"/>
        <v>2024</v>
      </c>
      <c r="U100" s="73">
        <f t="shared" si="6"/>
        <v>3</v>
      </c>
    </row>
    <row r="101">
      <c r="A101" s="34">
        <v>45383.0</v>
      </c>
      <c r="B101" s="48">
        <f t="shared" si="7"/>
        <v>18770.38</v>
      </c>
      <c r="C101" s="48">
        <f>ROUND(IF(MONTH($A101)=12,2.333,1)*VLOOKUP($A101,'Página31'!$A$1:$V$27,COLUMN(),TRUE),2)</f>
        <v>31403.09</v>
      </c>
      <c r="D101" s="48">
        <f t="shared" si="2"/>
        <v>29761.03</v>
      </c>
      <c r="E101" s="48">
        <f>ROUND(IF(MONTH($A101)=12,2.333,1)*VLOOKUP($A101,'Página31'!$A$1:$V$27,COLUMN(),TRUE),2)</f>
        <v>31403.09</v>
      </c>
      <c r="F101" s="48">
        <f>ROUND(IF(MONTH($A101)=12,2.333,1)*VLOOKUP($A101,'Página31'!$A$1:$V$27,COLUMN(),TRUE),2)</f>
        <v>0</v>
      </c>
      <c r="G101" s="48">
        <f t="shared" si="8"/>
        <v>14247.49</v>
      </c>
      <c r="H101" s="48">
        <f>ROUND(IF(MONTH($A101)=12,2.333,1)*VLOOKUP($A101,'Página31'!$A$1:$V$27,COLUMN(),TRUE),2)</f>
        <v>29280.63</v>
      </c>
      <c r="I101" s="48">
        <f t="shared" si="4"/>
        <v>29760.95</v>
      </c>
      <c r="J101" s="48">
        <f>ROUND(IF(MONTH($A101)=12,2.333,1)*VLOOKUP($A101,'Página31'!$A$1:$V$27,COLUMN(),TRUE),2)</f>
        <v>22145.64</v>
      </c>
      <c r="K101" s="48">
        <f>ROUND(IF(MONTH($A101)=12,2.333,1)*VLOOKUP($A101,'Página31'!$A$1:$V$27,COLUMN(),TRUE),2)</f>
        <v>20173.74</v>
      </c>
      <c r="L101" s="48" t="str">
        <f>VLOOKUP($A101,'Página31'!$A$1:$V$27,COLUMN(),TRUE)</f>
        <v/>
      </c>
      <c r="M101" s="48">
        <f>VLOOKUP($A101,'Página31'!$A$1:$V$27,COLUMN(),TRUE)</f>
        <v>19251.666</v>
      </c>
      <c r="N101" s="48">
        <f>VLOOKUP($A101,'Página31'!$A$1:$V$27,COLUMN(),TRUE)</f>
        <v>29761.03</v>
      </c>
      <c r="O101" s="48" t="str">
        <f>VLOOKUP($A101,'Página31'!$A$1:$V$27,COLUMN(),TRUE)</f>
        <v/>
      </c>
      <c r="P101" s="48">
        <f>VLOOKUP($A101,'Página31'!$A$1:$V$27,COLUMN(),TRUE)</f>
        <v>14247.49</v>
      </c>
      <c r="Q101" s="48" t="str">
        <f>VLOOKUP($A101,'Página31'!$A$1:$V$27,COLUMN(),TRUE)</f>
        <v/>
      </c>
      <c r="R101" s="48">
        <f>VLOOKUP($A101,'Página31'!$A$1:$V$27,COLUMN(),TRUE)</f>
        <v>29760.95</v>
      </c>
      <c r="S101" s="48" t="str">
        <f>VLOOKUP($A101,'Página31'!$A$1:$V$27,COLUMN(),TRUE)</f>
        <v/>
      </c>
      <c r="T101" s="73">
        <f t="shared" si="5"/>
        <v>2024</v>
      </c>
      <c r="U101" s="73">
        <f t="shared" si="6"/>
        <v>4</v>
      </c>
    </row>
    <row r="102">
      <c r="A102" s="34">
        <v>45413.0</v>
      </c>
      <c r="B102" s="48">
        <f t="shared" si="7"/>
        <v>18770.38</v>
      </c>
      <c r="C102" s="48">
        <f>ROUND(IF(MONTH($A102)=12,2.333,1)*VLOOKUP($A102,'Página31'!$A$1:$V$27,COLUMN(),TRUE),2)</f>
        <v>31403.09</v>
      </c>
      <c r="D102" s="48">
        <f t="shared" si="2"/>
        <v>29761.03</v>
      </c>
      <c r="E102" s="48">
        <f>ROUND(IF(MONTH($A102)=12,2.333,1)*VLOOKUP($A102,'Página31'!$A$1:$V$27,COLUMN(),TRUE),2)</f>
        <v>31403.09</v>
      </c>
      <c r="F102" s="48">
        <f>ROUND(IF(MONTH($A102)=12,2.333,1)*VLOOKUP($A102,'Página31'!$A$1:$V$27,COLUMN(),TRUE),2)</f>
        <v>0</v>
      </c>
      <c r="G102" s="48">
        <f t="shared" si="8"/>
        <v>14247.49</v>
      </c>
      <c r="H102" s="48">
        <f>ROUND(IF(MONTH($A102)=12,2.333,1)*VLOOKUP($A102,'Página31'!$A$1:$V$27,COLUMN(),TRUE),2)</f>
        <v>29280.63</v>
      </c>
      <c r="I102" s="48">
        <f t="shared" si="4"/>
        <v>29760.95</v>
      </c>
      <c r="J102" s="48">
        <f>ROUND(IF(MONTH($A102)=12,2.333,1)*VLOOKUP($A102,'Página31'!$A$1:$V$27,COLUMN(),TRUE),2)</f>
        <v>22145.64</v>
      </c>
      <c r="K102" s="48">
        <f>ROUND(IF(MONTH($A102)=12,2.333,1)*VLOOKUP($A102,'Página31'!$A$1:$V$27,COLUMN(),TRUE),2)</f>
        <v>20173.74</v>
      </c>
      <c r="L102" s="48" t="str">
        <f>VLOOKUP($A102,'Página31'!$A$1:$V$27,COLUMN(),TRUE)</f>
        <v/>
      </c>
      <c r="M102" s="48">
        <f>VLOOKUP($A102,'Página31'!$A$1:$V$27,COLUMN(),TRUE)</f>
        <v>19251.666</v>
      </c>
      <c r="N102" s="48">
        <f>VLOOKUP($A102,'Página31'!$A$1:$V$27,COLUMN(),TRUE)</f>
        <v>29761.03</v>
      </c>
      <c r="O102" s="48" t="str">
        <f>VLOOKUP($A102,'Página31'!$A$1:$V$27,COLUMN(),TRUE)</f>
        <v/>
      </c>
      <c r="P102" s="48">
        <f>VLOOKUP($A102,'Página31'!$A$1:$V$27,COLUMN(),TRUE)</f>
        <v>14247.49</v>
      </c>
      <c r="Q102" s="48" t="str">
        <f>VLOOKUP($A102,'Página31'!$A$1:$V$27,COLUMN(),TRUE)</f>
        <v/>
      </c>
      <c r="R102" s="48">
        <f>VLOOKUP($A102,'Página31'!$A$1:$V$27,COLUMN(),TRUE)</f>
        <v>29760.95</v>
      </c>
      <c r="S102" s="48" t="str">
        <f>VLOOKUP($A102,'Página31'!$A$1:$V$27,COLUMN(),TRUE)</f>
        <v/>
      </c>
      <c r="T102" s="73">
        <f t="shared" si="5"/>
        <v>2024</v>
      </c>
      <c r="U102" s="73">
        <f t="shared" si="6"/>
        <v>5</v>
      </c>
    </row>
    <row r="103">
      <c r="A103" s="34">
        <v>45444.0</v>
      </c>
      <c r="B103" s="48">
        <f t="shared" si="7"/>
        <v>18770.38</v>
      </c>
      <c r="C103" s="48">
        <f>ROUND(IF(MONTH($A103)=12,2.333,1)*VLOOKUP($A103,'Página31'!$A$1:$V$27,COLUMN(),TRUE),2)</f>
        <v>31403.09</v>
      </c>
      <c r="D103" s="48">
        <f t="shared" si="2"/>
        <v>29761.03</v>
      </c>
      <c r="E103" s="48">
        <f>ROUND(IF(MONTH($A103)=12,2.333,1)*VLOOKUP($A103,'Página31'!$A$1:$V$27,COLUMN(),TRUE),2)</f>
        <v>31403.09</v>
      </c>
      <c r="F103" s="48">
        <f>ROUND(IF(MONTH($A103)=12,2.333,1)*VLOOKUP($A103,'Página31'!$A$1:$V$27,COLUMN(),TRUE),2)</f>
        <v>0</v>
      </c>
      <c r="G103" s="48">
        <f t="shared" si="8"/>
        <v>14247.49</v>
      </c>
      <c r="H103" s="48">
        <f>ROUND(IF(MONTH($A103)=12,2.333,1)*VLOOKUP($A103,'Página31'!$A$1:$V$27,COLUMN(),TRUE),2)</f>
        <v>29280.63</v>
      </c>
      <c r="I103" s="48">
        <f t="shared" si="4"/>
        <v>29760.95</v>
      </c>
      <c r="J103" s="48">
        <f>ROUND(IF(MONTH($A103)=12,2.333,1)*VLOOKUP($A103,'Página31'!$A$1:$V$27,COLUMN(),TRUE),2)</f>
        <v>22145.64</v>
      </c>
      <c r="K103" s="48">
        <f>ROUND(IF(MONTH($A103)=12,2.333,1)*VLOOKUP($A103,'Página31'!$A$1:$V$27,COLUMN(),TRUE),2)</f>
        <v>20173.74</v>
      </c>
      <c r="L103" s="48" t="str">
        <f>VLOOKUP($A103,'Página31'!$A$1:$V$27,COLUMN(),TRUE)</f>
        <v/>
      </c>
      <c r="M103" s="48">
        <f>VLOOKUP($A103,'Página31'!$A$1:$V$27,COLUMN(),TRUE)</f>
        <v>19251.666</v>
      </c>
      <c r="N103" s="48">
        <f>VLOOKUP($A103,'Página31'!$A$1:$V$27,COLUMN(),TRUE)</f>
        <v>29761.03</v>
      </c>
      <c r="O103" s="48" t="str">
        <f>VLOOKUP($A103,'Página31'!$A$1:$V$27,COLUMN(),TRUE)</f>
        <v/>
      </c>
      <c r="P103" s="48">
        <f>VLOOKUP($A103,'Página31'!$A$1:$V$27,COLUMN(),TRUE)</f>
        <v>14247.49</v>
      </c>
      <c r="Q103" s="48" t="str">
        <f>VLOOKUP($A103,'Página31'!$A$1:$V$27,COLUMN(),TRUE)</f>
        <v/>
      </c>
      <c r="R103" s="48">
        <f>VLOOKUP($A103,'Página31'!$A$1:$V$27,COLUMN(),TRUE)</f>
        <v>29760.95</v>
      </c>
      <c r="S103" s="48" t="str">
        <f>VLOOKUP($A103,'Página31'!$A$1:$V$27,COLUMN(),TRUE)</f>
        <v/>
      </c>
      <c r="T103" s="73">
        <f t="shared" si="5"/>
        <v>2024</v>
      </c>
      <c r="U103" s="73">
        <f t="shared" si="6"/>
        <v>6</v>
      </c>
    </row>
    <row r="104">
      <c r="A104" s="34">
        <v>45474.0</v>
      </c>
      <c r="B104" s="48">
        <f t="shared" si="7"/>
        <v>18770.38</v>
      </c>
      <c r="C104" s="48">
        <f>ROUND(IF(MONTH($A104)=12,2.333,1)*VLOOKUP($A104,'Página31'!$A$1:$V$27,COLUMN(),TRUE),2)</f>
        <v>31403.09</v>
      </c>
      <c r="D104" s="48">
        <f t="shared" si="2"/>
        <v>29761.03</v>
      </c>
      <c r="E104" s="48">
        <f>ROUND(IF(MONTH($A104)=12,2.333,1)*VLOOKUP($A104,'Página31'!$A$1:$V$27,COLUMN(),TRUE),2)</f>
        <v>31403.09</v>
      </c>
      <c r="F104" s="48">
        <f>ROUND(IF(MONTH($A104)=12,2.333,1)*VLOOKUP($A104,'Página31'!$A$1:$V$27,COLUMN(),TRUE),2)</f>
        <v>0</v>
      </c>
      <c r="G104" s="48">
        <f t="shared" si="8"/>
        <v>14247.49</v>
      </c>
      <c r="H104" s="48">
        <f>ROUND(IF(MONTH($A104)=12,2.333,1)*VLOOKUP($A104,'Página31'!$A$1:$V$27,COLUMN(),TRUE),2)</f>
        <v>29280.63</v>
      </c>
      <c r="I104" s="48">
        <f t="shared" si="4"/>
        <v>29760.95</v>
      </c>
      <c r="J104" s="48">
        <f>ROUND(IF(MONTH($A104)=12,2.333,1)*VLOOKUP($A104,'Página31'!$A$1:$V$27,COLUMN(),TRUE),2)</f>
        <v>22145.64</v>
      </c>
      <c r="K104" s="48">
        <f>ROUND(IF(MONTH($A104)=12,2.333,1)*VLOOKUP($A104,'Página31'!$A$1:$V$27,COLUMN(),TRUE),2)</f>
        <v>20173.74</v>
      </c>
      <c r="L104" s="48" t="str">
        <f>VLOOKUP($A104,'Página31'!$A$1:$V$27,COLUMN(),TRUE)</f>
        <v/>
      </c>
      <c r="M104" s="48">
        <f>VLOOKUP($A104,'Página31'!$A$1:$V$27,COLUMN(),TRUE)</f>
        <v>19251.666</v>
      </c>
      <c r="N104" s="48">
        <f>VLOOKUP($A104,'Página31'!$A$1:$V$27,COLUMN(),TRUE)</f>
        <v>29761.03</v>
      </c>
      <c r="O104" s="48" t="str">
        <f>VLOOKUP($A104,'Página31'!$A$1:$V$27,COLUMN(),TRUE)</f>
        <v/>
      </c>
      <c r="P104" s="48">
        <f>VLOOKUP($A104,'Página31'!$A$1:$V$27,COLUMN(),TRUE)</f>
        <v>14247.49</v>
      </c>
      <c r="Q104" s="48" t="str">
        <f>VLOOKUP($A104,'Página31'!$A$1:$V$27,COLUMN(),TRUE)</f>
        <v/>
      </c>
      <c r="R104" s="48">
        <f>VLOOKUP($A104,'Página31'!$A$1:$V$27,COLUMN(),TRUE)</f>
        <v>29760.95</v>
      </c>
      <c r="S104" s="48" t="str">
        <f>VLOOKUP($A104,'Página31'!$A$1:$V$27,COLUMN(),TRUE)</f>
        <v/>
      </c>
      <c r="T104" s="73">
        <f t="shared" si="5"/>
        <v>2024</v>
      </c>
      <c r="U104" s="73">
        <f t="shared" si="6"/>
        <v>7</v>
      </c>
    </row>
    <row r="105">
      <c r="A105" s="34">
        <v>45505.0</v>
      </c>
      <c r="B105" s="48">
        <f t="shared" si="7"/>
        <v>18770.38</v>
      </c>
      <c r="C105" s="48">
        <f>ROUND(IF(MONTH($A105)=12,2.333,1)*VLOOKUP($A105,'Página31'!$A$1:$V$27,COLUMN(),TRUE),2)</f>
        <v>31403.09</v>
      </c>
      <c r="D105" s="48">
        <f t="shared" si="2"/>
        <v>29761.03</v>
      </c>
      <c r="E105" s="48">
        <f>ROUND(IF(MONTH($A105)=12,2.333,1)*VLOOKUP($A105,'Página31'!$A$1:$V$27,COLUMN(),TRUE),2)</f>
        <v>31403.09</v>
      </c>
      <c r="F105" s="48">
        <f>ROUND(IF(MONTH($A105)=12,2.333,1)*VLOOKUP($A105,'Página31'!$A$1:$V$27,COLUMN(),TRUE),2)</f>
        <v>0</v>
      </c>
      <c r="G105" s="48">
        <f t="shared" si="8"/>
        <v>14247.49</v>
      </c>
      <c r="H105" s="48">
        <f>ROUND(IF(MONTH($A105)=12,2.333,1)*VLOOKUP($A105,'Página31'!$A$1:$V$27,COLUMN(),TRUE),2)</f>
        <v>29280.63</v>
      </c>
      <c r="I105" s="48">
        <f t="shared" si="4"/>
        <v>29760.95</v>
      </c>
      <c r="J105" s="48">
        <f>ROUND(IF(MONTH($A105)=12,2.333,1)*VLOOKUP($A105,'Página31'!$A$1:$V$27,COLUMN(),TRUE),2)</f>
        <v>22471.89</v>
      </c>
      <c r="K105" s="48">
        <f>ROUND(IF(MONTH($A105)=12,2.333,1)*VLOOKUP($A105,'Página31'!$A$1:$V$27,COLUMN(),TRUE),2)</f>
        <v>20173.74</v>
      </c>
      <c r="L105" s="48" t="str">
        <f>VLOOKUP($A105,'Página31'!$A$1:$V$27,COLUMN(),TRUE)</f>
        <v/>
      </c>
      <c r="M105" s="48">
        <f>VLOOKUP($A105,'Página31'!$A$1:$V$27,COLUMN(),TRUE)</f>
        <v>19251.666</v>
      </c>
      <c r="N105" s="48">
        <f>VLOOKUP($A105,'Página31'!$A$1:$V$27,COLUMN(),TRUE)</f>
        <v>29761.03</v>
      </c>
      <c r="O105" s="48" t="str">
        <f>VLOOKUP($A105,'Página31'!$A$1:$V$27,COLUMN(),TRUE)</f>
        <v/>
      </c>
      <c r="P105" s="48">
        <f>VLOOKUP($A105,'Página31'!$A$1:$V$27,COLUMN(),TRUE)</f>
        <v>14247.49</v>
      </c>
      <c r="Q105" s="48" t="str">
        <f>VLOOKUP($A105,'Página31'!$A$1:$V$27,COLUMN(),TRUE)</f>
        <v/>
      </c>
      <c r="R105" s="48">
        <f>VLOOKUP($A105,'Página31'!$A$1:$V$27,COLUMN(),TRUE)</f>
        <v>29760.95</v>
      </c>
      <c r="S105" s="48" t="str">
        <f>VLOOKUP($A105,'Página31'!$A$1:$V$27,COLUMN(),TRUE)</f>
        <v/>
      </c>
      <c r="T105" s="73">
        <f t="shared" si="5"/>
        <v>2024</v>
      </c>
      <c r="U105" s="73">
        <f t="shared" si="6"/>
        <v>8</v>
      </c>
    </row>
    <row r="106">
      <c r="A106" s="34">
        <v>45536.0</v>
      </c>
      <c r="B106" s="48">
        <f t="shared" si="7"/>
        <v>18770.38</v>
      </c>
      <c r="C106" s="48">
        <f>ROUND(IF(MONTH($A106)=12,2.333,1)*VLOOKUP($A106,'Página31'!$A$1:$V$27,COLUMN(),TRUE),2)</f>
        <v>31403.09</v>
      </c>
      <c r="D106" s="48">
        <f t="shared" si="2"/>
        <v>29761.03</v>
      </c>
      <c r="E106" s="48">
        <f>ROUND(IF(MONTH($A106)=12,2.333,1)*VLOOKUP($A106,'Página31'!$A$1:$V$27,COLUMN(),TRUE),2)</f>
        <v>31403.09</v>
      </c>
      <c r="F106" s="48">
        <f>ROUND(IF(MONTH($A106)=12,2.333,1)*VLOOKUP($A106,'Página31'!$A$1:$V$27,COLUMN(),TRUE),2)</f>
        <v>0</v>
      </c>
      <c r="G106" s="48">
        <f t="shared" si="8"/>
        <v>14247.49</v>
      </c>
      <c r="H106" s="48">
        <f>ROUND(IF(MONTH($A106)=12,2.333,1)*VLOOKUP($A106,'Página31'!$A$1:$V$27,COLUMN(),TRUE),2)</f>
        <v>29280.63</v>
      </c>
      <c r="I106" s="48">
        <f t="shared" si="4"/>
        <v>29760.95</v>
      </c>
      <c r="J106" s="48">
        <f>ROUND(IF(MONTH($A106)=12,2.333,1)*VLOOKUP($A106,'Página31'!$A$1:$V$27,COLUMN(),TRUE),2)</f>
        <v>22471.89</v>
      </c>
      <c r="K106" s="48">
        <f>ROUND(IF(MONTH($A106)=12,2.333,1)*VLOOKUP($A106,'Página31'!$A$1:$V$27,COLUMN(),TRUE),2)</f>
        <v>20173.74</v>
      </c>
      <c r="L106" s="48" t="str">
        <f>VLOOKUP($A106,'Página31'!$A$1:$V$27,COLUMN(),TRUE)</f>
        <v/>
      </c>
      <c r="M106" s="48">
        <f>VLOOKUP($A106,'Página31'!$A$1:$V$27,COLUMN(),TRUE)</f>
        <v>19251.666</v>
      </c>
      <c r="N106" s="48">
        <f>VLOOKUP($A106,'Página31'!$A$1:$V$27,COLUMN(),TRUE)</f>
        <v>29761.03</v>
      </c>
      <c r="O106" s="48" t="str">
        <f>VLOOKUP($A106,'Página31'!$A$1:$V$27,COLUMN(),TRUE)</f>
        <v/>
      </c>
      <c r="P106" s="48">
        <f>VLOOKUP($A106,'Página31'!$A$1:$V$27,COLUMN(),TRUE)</f>
        <v>14247.49</v>
      </c>
      <c r="Q106" s="48" t="str">
        <f>VLOOKUP($A106,'Página31'!$A$1:$V$27,COLUMN(),TRUE)</f>
        <v/>
      </c>
      <c r="R106" s="48">
        <f>VLOOKUP($A106,'Página31'!$A$1:$V$27,COLUMN(),TRUE)</f>
        <v>29760.95</v>
      </c>
      <c r="S106" s="48" t="str">
        <f>VLOOKUP($A106,'Página31'!$A$1:$V$27,COLUMN(),TRUE)</f>
        <v/>
      </c>
      <c r="T106" s="73">
        <f t="shared" si="5"/>
        <v>2024</v>
      </c>
      <c r="U106" s="73">
        <f t="shared" si="6"/>
        <v>9</v>
      </c>
    </row>
    <row r="107">
      <c r="A107" s="34">
        <v>45566.0</v>
      </c>
      <c r="B107" s="48">
        <f t="shared" si="7"/>
        <v>18770.38</v>
      </c>
      <c r="C107" s="48">
        <f>ROUND(IF(MONTH($A107)=12,2.333,1)*VLOOKUP($A107,'Página31'!$A$1:$V$27,COLUMN(),TRUE),2)</f>
        <v>31403.09</v>
      </c>
      <c r="D107" s="48">
        <f t="shared" si="2"/>
        <v>29761.03</v>
      </c>
      <c r="E107" s="48">
        <f>ROUND(IF(MONTH($A107)=12,2.333,1)*VLOOKUP($A107,'Página31'!$A$1:$V$27,COLUMN(),TRUE),2)</f>
        <v>31403.09</v>
      </c>
      <c r="F107" s="48">
        <f>ROUND(IF(MONTH($A107)=12,2.333,1)*VLOOKUP($A107,'Página31'!$A$1:$V$27,COLUMN(),TRUE),2)</f>
        <v>0</v>
      </c>
      <c r="G107" s="48">
        <f t="shared" si="8"/>
        <v>14247.49</v>
      </c>
      <c r="H107" s="48">
        <f>ROUND(IF(MONTH($A107)=12,2.333,1)*VLOOKUP($A107,'Página31'!$A$1:$V$27,COLUMN(),TRUE),2)</f>
        <v>29280.63</v>
      </c>
      <c r="I107" s="48">
        <f t="shared" si="4"/>
        <v>29760.95</v>
      </c>
      <c r="J107" s="48">
        <f>ROUND(IF(MONTH($A107)=12,2.333,1)*VLOOKUP($A107,'Página31'!$A$1:$V$27,COLUMN(),TRUE),2)</f>
        <v>22471.89</v>
      </c>
      <c r="K107" s="48">
        <f>ROUND(IF(MONTH($A107)=12,2.333,1)*VLOOKUP($A107,'Página31'!$A$1:$V$27,COLUMN(),TRUE),2)</f>
        <v>20173.74</v>
      </c>
      <c r="L107" s="48" t="str">
        <f>VLOOKUP($A107,'Página31'!$A$1:$V$27,COLUMN(),TRUE)</f>
        <v/>
      </c>
      <c r="M107" s="48">
        <f>VLOOKUP($A107,'Página31'!$A$1:$V$27,COLUMN(),TRUE)</f>
        <v>19251.666</v>
      </c>
      <c r="N107" s="48">
        <f>VLOOKUP($A107,'Página31'!$A$1:$V$27,COLUMN(),TRUE)</f>
        <v>29761.03</v>
      </c>
      <c r="O107" s="48" t="str">
        <f>VLOOKUP($A107,'Página31'!$A$1:$V$27,COLUMN(),TRUE)</f>
        <v/>
      </c>
      <c r="P107" s="48">
        <f>VLOOKUP($A107,'Página31'!$A$1:$V$27,COLUMN(),TRUE)</f>
        <v>14247.49</v>
      </c>
      <c r="Q107" s="48" t="str">
        <f>VLOOKUP($A107,'Página31'!$A$1:$V$27,COLUMN(),TRUE)</f>
        <v/>
      </c>
      <c r="R107" s="48">
        <f>VLOOKUP($A107,'Página31'!$A$1:$V$27,COLUMN(),TRUE)</f>
        <v>29760.95</v>
      </c>
      <c r="S107" s="48" t="str">
        <f>VLOOKUP($A107,'Página31'!$A$1:$V$27,COLUMN(),TRUE)</f>
        <v/>
      </c>
      <c r="T107" s="73">
        <f t="shared" si="5"/>
        <v>2024</v>
      </c>
      <c r="U107" s="73">
        <f t="shared" si="6"/>
        <v>10</v>
      </c>
    </row>
    <row r="108">
      <c r="A108" s="34">
        <v>45597.0</v>
      </c>
      <c r="B108" s="48">
        <f t="shared" si="7"/>
        <v>18770.38</v>
      </c>
      <c r="C108" s="48">
        <f>ROUND(IF(MONTH($A108)=12,2.333,1)*VLOOKUP($A108,'Página31'!$A$1:$V$27,COLUMN(),TRUE),2)</f>
        <v>31403.09</v>
      </c>
      <c r="D108" s="48">
        <f t="shared" si="2"/>
        <v>29761.03</v>
      </c>
      <c r="E108" s="48">
        <f>ROUND(IF(MONTH($A108)=12,2.333,1)*VLOOKUP($A108,'Página31'!$A$1:$V$27,COLUMN(),TRUE),2)</f>
        <v>31403.09</v>
      </c>
      <c r="F108" s="48">
        <f>ROUND(IF(MONTH($A108)=12,2.333,1)*VLOOKUP($A108,'Página31'!$A$1:$V$27,COLUMN(),TRUE),2)</f>
        <v>0</v>
      </c>
      <c r="G108" s="48">
        <f t="shared" si="8"/>
        <v>14247.49</v>
      </c>
      <c r="H108" s="48">
        <f>ROUND(IF(MONTH($A108)=12,2.333,1)*VLOOKUP($A108,'Página31'!$A$1:$V$27,COLUMN(),TRUE),2)</f>
        <v>29280.63</v>
      </c>
      <c r="I108" s="48">
        <f t="shared" si="4"/>
        <v>29760.95</v>
      </c>
      <c r="J108" s="48">
        <f>ROUND(IF(MONTH($A108)=12,2.333,1)*VLOOKUP($A108,'Página31'!$A$1:$V$27,COLUMN(),TRUE),2)</f>
        <v>22471.89</v>
      </c>
      <c r="K108" s="48">
        <f>ROUND(IF(MONTH($A108)=12,2.333,1)*VLOOKUP($A108,'Página31'!$A$1:$V$27,COLUMN(),TRUE),2)</f>
        <v>20173.74</v>
      </c>
      <c r="L108" s="48" t="str">
        <f>VLOOKUP($A108,'Página31'!$A$1:$V$27,COLUMN(),TRUE)</f>
        <v/>
      </c>
      <c r="M108" s="48">
        <f>VLOOKUP($A108,'Página31'!$A$1:$V$27,COLUMN(),TRUE)</f>
        <v>19251.666</v>
      </c>
      <c r="N108" s="48">
        <f>VLOOKUP($A108,'Página31'!$A$1:$V$27,COLUMN(),TRUE)</f>
        <v>29761.03</v>
      </c>
      <c r="O108" s="48" t="str">
        <f>VLOOKUP($A108,'Página31'!$A$1:$V$27,COLUMN(),TRUE)</f>
        <v/>
      </c>
      <c r="P108" s="48">
        <f>VLOOKUP($A108,'Página31'!$A$1:$V$27,COLUMN(),TRUE)</f>
        <v>14247.49</v>
      </c>
      <c r="Q108" s="48" t="str">
        <f>VLOOKUP($A108,'Página31'!$A$1:$V$27,COLUMN(),TRUE)</f>
        <v/>
      </c>
      <c r="R108" s="48">
        <f>VLOOKUP($A108,'Página31'!$A$1:$V$27,COLUMN(),TRUE)</f>
        <v>29760.95</v>
      </c>
      <c r="S108" s="48" t="str">
        <f>VLOOKUP($A108,'Página31'!$A$1:$V$27,COLUMN(),TRUE)</f>
        <v/>
      </c>
      <c r="T108" s="73">
        <f t="shared" si="5"/>
        <v>2024</v>
      </c>
      <c r="U108" s="73">
        <f t="shared" si="6"/>
        <v>11</v>
      </c>
    </row>
    <row r="109">
      <c r="A109" s="34">
        <v>45627.0</v>
      </c>
      <c r="B109" s="48">
        <f t="shared" si="7"/>
        <v>43791.3</v>
      </c>
      <c r="C109" s="48">
        <f>ROUND(IF(MONTH($A109)=12,2.333,1)*VLOOKUP($A109,'Página31'!$A$1:$V$27,COLUMN(),TRUE),2)</f>
        <v>73263.42</v>
      </c>
      <c r="D109" s="48">
        <f t="shared" si="2"/>
        <v>69432.48</v>
      </c>
      <c r="E109" s="48">
        <f>ROUND(IF(MONTH($A109)=12,2.333,1)*VLOOKUP($A109,'Página31'!$A$1:$V$27,COLUMN(),TRUE),2)</f>
        <v>73263.42</v>
      </c>
      <c r="F109" s="48">
        <f>ROUND(IF(MONTH($A109)=12,2.333,1)*VLOOKUP($A109,'Página31'!$A$1:$V$27,COLUMN(),TRUE),2)</f>
        <v>0</v>
      </c>
      <c r="G109" s="48">
        <f t="shared" si="8"/>
        <v>33239.39</v>
      </c>
      <c r="H109" s="48">
        <f>ROUND(IF(MONTH($A109)=12,2.333,1)*VLOOKUP($A109,'Página31'!$A$1:$V$27,COLUMN(),TRUE),2)</f>
        <v>68311.72</v>
      </c>
      <c r="I109" s="48">
        <f t="shared" si="4"/>
        <v>69432.3</v>
      </c>
      <c r="J109" s="48">
        <f>ROUND(IF(MONTH($A109)=12,2.333,1)*VLOOKUP($A109,'Página31'!$A$1:$V$27,COLUMN(),TRUE),2)</f>
        <v>52426.92</v>
      </c>
      <c r="K109" s="48">
        <f>ROUND(IF(MONTH($A109)=12,2.333,1)*VLOOKUP($A109,'Página31'!$A$1:$V$27,COLUMN(),TRUE),2)</f>
        <v>47065.33</v>
      </c>
      <c r="L109" s="48" t="str">
        <f>VLOOKUP($A109,'Página31'!$A$1:$V$27,COLUMN(),TRUE)</f>
        <v/>
      </c>
      <c r="M109" s="48">
        <f>VLOOKUP($A109,'Página31'!$A$1:$V$27,COLUMN(),TRUE)</f>
        <v>19251.666</v>
      </c>
      <c r="N109" s="48">
        <f>VLOOKUP($A109,'Página31'!$A$1:$V$27,COLUMN(),TRUE)</f>
        <v>29761.03</v>
      </c>
      <c r="O109" s="48" t="str">
        <f>VLOOKUP($A109,'Página31'!$A$1:$V$27,COLUMN(),TRUE)</f>
        <v/>
      </c>
      <c r="P109" s="48">
        <f>VLOOKUP($A109,'Página31'!$A$1:$V$27,COLUMN(),TRUE)</f>
        <v>14247.49</v>
      </c>
      <c r="Q109" s="48" t="str">
        <f>VLOOKUP($A109,'Página31'!$A$1:$V$27,COLUMN(),TRUE)</f>
        <v/>
      </c>
      <c r="R109" s="48">
        <f>VLOOKUP($A109,'Página31'!$A$1:$V$27,COLUMN(),TRUE)</f>
        <v>29760.95</v>
      </c>
      <c r="S109" s="48" t="str">
        <f>VLOOKUP($A109,'Página31'!$A$1:$V$27,COLUMN(),TRUE)</f>
        <v/>
      </c>
      <c r="T109" s="73">
        <f t="shared" si="5"/>
        <v>2024</v>
      </c>
      <c r="U109" s="73">
        <f t="shared" si="6"/>
        <v>12</v>
      </c>
    </row>
    <row r="110">
      <c r="A110" s="34">
        <v>45658.0</v>
      </c>
      <c r="B110" s="48">
        <f t="shared" si="7"/>
        <v>20633.04</v>
      </c>
      <c r="C110" s="48">
        <f>ROUND(IF(MONTH($A110)=12,2.333,1)*VLOOKUP($A110,'Página31'!$A$1:$V$27,COLUMN(),TRUE),2)</f>
        <v>34827.47</v>
      </c>
      <c r="D110" s="48">
        <f t="shared" si="2"/>
        <v>29761.03</v>
      </c>
      <c r="E110" s="48">
        <f>ROUND(IF(MONTH($A110)=12,2.333,1)*VLOOKUP($A110,'Página31'!$A$1:$V$27,COLUMN(),TRUE),2)</f>
        <v>34827.47</v>
      </c>
      <c r="F110" s="48">
        <f>ROUND(IF(MONTH($A110)=12,2.333,1)*VLOOKUP($A110,'Página31'!$A$1:$V$27,COLUMN(),TRUE),2)</f>
        <v>0</v>
      </c>
      <c r="G110" s="48">
        <f t="shared" si="8"/>
        <v>14247.49</v>
      </c>
      <c r="H110" s="48">
        <f>ROUND(IF(MONTH($A110)=12,2.333,1)*VLOOKUP($A110,'Página31'!$A$1:$V$27,COLUMN(),TRUE),2)</f>
        <v>29280.63</v>
      </c>
      <c r="I110" s="48">
        <f t="shared" si="4"/>
        <v>29760.95</v>
      </c>
      <c r="J110" s="48">
        <f>ROUND(IF(MONTH($A110)=12,2.333,1)*VLOOKUP($A110,'Página31'!$A$1:$V$27,COLUMN(),TRUE),2)</f>
        <v>22471.89</v>
      </c>
      <c r="K110" s="48">
        <f>ROUND(IF(MONTH($A110)=12,2.333,1)*VLOOKUP($A110,'Página31'!$A$1:$V$27,COLUMN(),TRUE),2)</f>
        <v>22184.71</v>
      </c>
      <c r="L110" s="48" t="str">
        <f>VLOOKUP($A110,'Página31'!$A$1:$V$27,COLUMN(),TRUE)</f>
        <v/>
      </c>
      <c r="M110" s="48">
        <f>VLOOKUP($A110,'Página31'!$A$1:$V$27,COLUMN(),TRUE)</f>
        <v>21162.0845</v>
      </c>
      <c r="N110" s="48">
        <f>VLOOKUP($A110,'Página31'!$A$1:$V$27,COLUMN(),TRUE)</f>
        <v>29761.03</v>
      </c>
      <c r="O110" s="48" t="str">
        <f>VLOOKUP($A110,'Página31'!$A$1:$V$27,COLUMN(),TRUE)</f>
        <v/>
      </c>
      <c r="P110" s="48">
        <f>VLOOKUP($A110,'Página31'!$A$1:$V$27,COLUMN(),TRUE)</f>
        <v>14247.49</v>
      </c>
      <c r="Q110" s="48" t="str">
        <f>VLOOKUP($A110,'Página31'!$A$1:$V$27,COLUMN(),TRUE)</f>
        <v/>
      </c>
      <c r="R110" s="48">
        <f>VLOOKUP($A110,'Página31'!$A$1:$V$27,COLUMN(),TRUE)</f>
        <v>29760.95</v>
      </c>
      <c r="S110" s="48" t="str">
        <f>VLOOKUP($A110,'Página31'!$A$1:$V$27,COLUMN(),TRUE)</f>
        <v/>
      </c>
      <c r="T110" s="73">
        <f t="shared" si="5"/>
        <v>2025</v>
      </c>
      <c r="U110" s="73">
        <f t="shared" si="6"/>
        <v>1</v>
      </c>
    </row>
    <row r="111">
      <c r="A111" s="34">
        <v>45689.0</v>
      </c>
      <c r="B111" s="48">
        <f t="shared" si="7"/>
        <v>20633.04</v>
      </c>
      <c r="C111" s="48">
        <f>ROUND(IF(MONTH($A111)=12,2.333,1)*VLOOKUP($A111,'Página31'!$A$1:$V$27,COLUMN(),TRUE),2)</f>
        <v>34827.47</v>
      </c>
      <c r="D111" s="48">
        <f t="shared" si="2"/>
        <v>29761.03</v>
      </c>
      <c r="E111" s="48">
        <f>ROUND(IF(MONTH($A111)=12,2.333,1)*VLOOKUP($A111,'Página31'!$A$1:$V$27,COLUMN(),TRUE),2)</f>
        <v>34827.47</v>
      </c>
      <c r="F111" s="48">
        <f>ROUND(IF(MONTH($A111)=12,2.333,1)*VLOOKUP($A111,'Página31'!$A$1:$V$27,COLUMN(),TRUE),2)</f>
        <v>0</v>
      </c>
      <c r="G111" s="48">
        <f t="shared" si="8"/>
        <v>16605.16</v>
      </c>
      <c r="H111" s="48">
        <f>ROUND(IF(MONTH($A111)=12,2.333,1)*VLOOKUP($A111,'Página31'!$A$1:$V$27,COLUMN(),TRUE),2)</f>
        <v>30947.21</v>
      </c>
      <c r="I111" s="48">
        <f t="shared" si="4"/>
        <v>29760.95</v>
      </c>
      <c r="J111" s="48">
        <f>ROUND(IF(MONTH($A111)=12,2.333,1)*VLOOKUP($A111,'Página31'!$A$1:$V$27,COLUMN(),TRUE),2)</f>
        <v>23776.89</v>
      </c>
      <c r="K111" s="48">
        <f>ROUND(IF(MONTH($A111)=12,2.333,1)*VLOOKUP($A111,'Página31'!$A$1:$V$27,COLUMN(),TRUE),2)</f>
        <v>22184.71</v>
      </c>
      <c r="L111" s="48" t="str">
        <f>VLOOKUP($A111,'Página31'!$A$1:$V$27,COLUMN(),TRUE)</f>
        <v/>
      </c>
      <c r="M111" s="48">
        <f>VLOOKUP($A111,'Página31'!$A$1:$V$27,COLUMN(),TRUE)</f>
        <v>21162.0845</v>
      </c>
      <c r="N111" s="48">
        <f>VLOOKUP($A111,'Página31'!$A$1:$V$27,COLUMN(),TRUE)</f>
        <v>29761.03</v>
      </c>
      <c r="O111" s="48" t="str">
        <f>VLOOKUP($A111,'Página31'!$A$1:$V$27,COLUMN(),TRUE)</f>
        <v/>
      </c>
      <c r="P111" s="48">
        <f>VLOOKUP($A111,'Página31'!$A$1:$V$27,COLUMN(),TRUE)</f>
        <v>16605.16</v>
      </c>
      <c r="Q111" s="48" t="str">
        <f>VLOOKUP($A111,'Página31'!$A$1:$V$27,COLUMN(),TRUE)</f>
        <v/>
      </c>
      <c r="R111" s="48">
        <f>VLOOKUP($A111,'Página31'!$A$1:$V$27,COLUMN(),TRUE)</f>
        <v>29760.95</v>
      </c>
      <c r="S111" s="48" t="str">
        <f>VLOOKUP($A111,'Página31'!$A$1:$V$27,COLUMN(),TRUE)</f>
        <v/>
      </c>
      <c r="T111" s="73">
        <f t="shared" si="5"/>
        <v>2025</v>
      </c>
      <c r="U111" s="73">
        <f t="shared" si="6"/>
        <v>2</v>
      </c>
    </row>
    <row r="112">
      <c r="A112" s="34">
        <v>45717.0</v>
      </c>
      <c r="B112" s="48">
        <f t="shared" si="7"/>
        <v>20633.04</v>
      </c>
      <c r="C112" s="48">
        <f>ROUND(IF(MONTH($A112)=12,2.333,1)*VLOOKUP($A112,'Página31'!$A$1:$V$27,COLUMN(),TRUE),2)</f>
        <v>34827.47</v>
      </c>
      <c r="D112" s="48">
        <f t="shared" si="2"/>
        <v>29761.03</v>
      </c>
      <c r="E112" s="48">
        <f>ROUND(IF(MONTH($A112)=12,2.333,1)*VLOOKUP($A112,'Página31'!$A$1:$V$27,COLUMN(),TRUE),2)</f>
        <v>34827.47</v>
      </c>
      <c r="F112" s="48">
        <f>ROUND(IF(MONTH($A112)=12,2.333,1)*VLOOKUP($A112,'Página31'!$A$1:$V$27,COLUMN(),TRUE),2)</f>
        <v>0</v>
      </c>
      <c r="G112" s="48">
        <f t="shared" si="8"/>
        <v>16605.16</v>
      </c>
      <c r="H112" s="48">
        <f>ROUND(IF(MONTH($A112)=12,2.333,1)*VLOOKUP($A112,'Página31'!$A$1:$V$27,COLUMN(),TRUE),2)</f>
        <v>30947.21</v>
      </c>
      <c r="I112" s="48">
        <f t="shared" si="4"/>
        <v>29760.95</v>
      </c>
      <c r="J112" s="48">
        <f>ROUND(IF(MONTH($A112)=12,2.333,1)*VLOOKUP($A112,'Página31'!$A$1:$V$27,COLUMN(),TRUE),2)</f>
        <v>23776.89</v>
      </c>
      <c r="K112" s="48">
        <f>ROUND(IF(MONTH($A112)=12,2.333,1)*VLOOKUP($A112,'Página31'!$A$1:$V$27,COLUMN(),TRUE),2)</f>
        <v>22184.71</v>
      </c>
      <c r="L112" s="48" t="str">
        <f>VLOOKUP($A112,'Página31'!$A$1:$V$27,COLUMN(),TRUE)</f>
        <v/>
      </c>
      <c r="M112" s="48">
        <f>VLOOKUP($A112,'Página31'!$A$1:$V$27,COLUMN(),TRUE)</f>
        <v>21162.0845</v>
      </c>
      <c r="N112" s="48">
        <f>VLOOKUP($A112,'Página31'!$A$1:$V$27,COLUMN(),TRUE)</f>
        <v>29761.03</v>
      </c>
      <c r="O112" s="48" t="str">
        <f>VLOOKUP($A112,'Página31'!$A$1:$V$27,COLUMN(),TRUE)</f>
        <v/>
      </c>
      <c r="P112" s="48">
        <f>VLOOKUP($A112,'Página31'!$A$1:$V$27,COLUMN(),TRUE)</f>
        <v>16605.16</v>
      </c>
      <c r="Q112" s="48" t="str">
        <f>VLOOKUP($A112,'Página31'!$A$1:$V$27,COLUMN(),TRUE)</f>
        <v/>
      </c>
      <c r="R112" s="48">
        <f>VLOOKUP($A112,'Página31'!$A$1:$V$27,COLUMN(),TRUE)</f>
        <v>29760.95</v>
      </c>
      <c r="S112" s="48" t="str">
        <f>VLOOKUP($A112,'Página31'!$A$1:$V$27,COLUMN(),TRUE)</f>
        <v/>
      </c>
      <c r="T112" s="73">
        <f t="shared" si="5"/>
        <v>2025</v>
      </c>
      <c r="U112" s="73">
        <f t="shared" si="6"/>
        <v>3</v>
      </c>
    </row>
    <row r="113">
      <c r="A113" s="34">
        <v>45748.0</v>
      </c>
      <c r="B113" s="48">
        <f t="shared" si="7"/>
        <v>20633.04</v>
      </c>
      <c r="C113" s="48">
        <f>ROUND(IF(MONTH($A113)=12,2.333,1)*VLOOKUP($A113,'Página31'!$A$1:$V$27,COLUMN(),TRUE),2)</f>
        <v>34827.47</v>
      </c>
      <c r="D113" s="48">
        <f t="shared" si="2"/>
        <v>29761.03</v>
      </c>
      <c r="E113" s="48">
        <f>ROUND(IF(MONTH($A113)=12,2.333,1)*VLOOKUP($A113,'Página31'!$A$1:$V$27,COLUMN(),TRUE),2)</f>
        <v>34827.47</v>
      </c>
      <c r="F113" s="48">
        <f>ROUND(IF(MONTH($A113)=12,2.333,1)*VLOOKUP($A113,'Página31'!$A$1:$V$27,COLUMN(),TRUE),2)</f>
        <v>0</v>
      </c>
      <c r="G113" s="48">
        <f t="shared" si="8"/>
        <v>16605.16</v>
      </c>
      <c r="H113" s="48">
        <f>ROUND(IF(MONTH($A113)=12,2.333,1)*VLOOKUP($A113,'Página31'!$A$1:$V$27,COLUMN(),TRUE),2)</f>
        <v>30947.21</v>
      </c>
      <c r="I113" s="48">
        <f t="shared" si="4"/>
        <v>29760.95</v>
      </c>
      <c r="J113" s="48">
        <f>ROUND(IF(MONTH($A113)=12,2.333,1)*VLOOKUP($A113,'Página31'!$A$1:$V$27,COLUMN(),TRUE),2)</f>
        <v>23776.89</v>
      </c>
      <c r="K113" s="48">
        <f>ROUND(IF(MONTH($A113)=12,2.333,1)*VLOOKUP($A113,'Página31'!$A$1:$V$27,COLUMN(),TRUE),2)</f>
        <v>22184.71</v>
      </c>
      <c r="L113" s="48" t="str">
        <f>VLOOKUP($A113,'Página31'!$A$1:$V$27,COLUMN(),TRUE)</f>
        <v/>
      </c>
      <c r="M113" s="48">
        <f>VLOOKUP($A113,'Página31'!$A$1:$V$27,COLUMN(),TRUE)</f>
        <v>21162.0845</v>
      </c>
      <c r="N113" s="48">
        <f>VLOOKUP($A113,'Página31'!$A$1:$V$27,COLUMN(),TRUE)</f>
        <v>29761.03</v>
      </c>
      <c r="O113" s="48" t="str">
        <f>VLOOKUP($A113,'Página31'!$A$1:$V$27,COLUMN(),TRUE)</f>
        <v/>
      </c>
      <c r="P113" s="48">
        <f>VLOOKUP($A113,'Página31'!$A$1:$V$27,COLUMN(),TRUE)</f>
        <v>16605.16</v>
      </c>
      <c r="Q113" s="48" t="str">
        <f>VLOOKUP($A113,'Página31'!$A$1:$V$27,COLUMN(),TRUE)</f>
        <v/>
      </c>
      <c r="R113" s="48">
        <f>VLOOKUP($A113,'Página31'!$A$1:$V$27,COLUMN(),TRUE)</f>
        <v>29760.95</v>
      </c>
      <c r="S113" s="48" t="str">
        <f>VLOOKUP($A113,'Página31'!$A$1:$V$27,COLUMN(),TRUE)</f>
        <v/>
      </c>
      <c r="T113" s="73">
        <f t="shared" si="5"/>
        <v>2025</v>
      </c>
      <c r="U113" s="73">
        <f t="shared" si="6"/>
        <v>4</v>
      </c>
    </row>
    <row r="114">
      <c r="A114" s="34">
        <v>45778.0</v>
      </c>
      <c r="B114" s="48">
        <f t="shared" si="7"/>
        <v>20633.04</v>
      </c>
      <c r="C114" s="48">
        <f>ROUND(IF(MONTH($A114)=12,2.333,1)*VLOOKUP($A114,'Página31'!$A$1:$V$27,COLUMN(),TRUE),2)</f>
        <v>34827.47</v>
      </c>
      <c r="D114" s="48">
        <f t="shared" si="2"/>
        <v>29761.03</v>
      </c>
      <c r="E114" s="48">
        <f>ROUND(IF(MONTH($A114)=12,2.333,1)*VLOOKUP($A114,'Página31'!$A$1:$V$27,COLUMN(),TRUE),2)</f>
        <v>34827.47</v>
      </c>
      <c r="F114" s="48">
        <f>ROUND(IF(MONTH($A114)=12,2.333,1)*VLOOKUP($A114,'Página31'!$A$1:$V$27,COLUMN(),TRUE),2)</f>
        <v>0</v>
      </c>
      <c r="G114" s="48">
        <f t="shared" si="8"/>
        <v>16605.16</v>
      </c>
      <c r="H114" s="48">
        <f>ROUND(IF(MONTH($A114)=12,2.333,1)*VLOOKUP($A114,'Página31'!$A$1:$V$27,COLUMN(),TRUE),2)</f>
        <v>30947.21</v>
      </c>
      <c r="I114" s="48">
        <f t="shared" si="4"/>
        <v>29760.95</v>
      </c>
      <c r="J114" s="48">
        <f>ROUND(IF(MONTH($A114)=12,2.333,1)*VLOOKUP($A114,'Página31'!$A$1:$V$27,COLUMN(),TRUE),2)</f>
        <v>23776.89</v>
      </c>
      <c r="K114" s="48">
        <f>ROUND(IF(MONTH($A114)=12,2.333,1)*VLOOKUP($A114,'Página31'!$A$1:$V$27,COLUMN(),TRUE),2)</f>
        <v>22184.71</v>
      </c>
      <c r="L114" s="48" t="str">
        <f>VLOOKUP($A114,'Página31'!$A$1:$V$27,COLUMN(),TRUE)</f>
        <v/>
      </c>
      <c r="M114" s="48">
        <f>VLOOKUP($A114,'Página31'!$A$1:$V$27,COLUMN(),TRUE)</f>
        <v>21162.0845</v>
      </c>
      <c r="N114" s="48">
        <f>VLOOKUP($A114,'Página31'!$A$1:$V$27,COLUMN(),TRUE)</f>
        <v>29761.03</v>
      </c>
      <c r="O114" s="48" t="str">
        <f>VLOOKUP($A114,'Página31'!$A$1:$V$27,COLUMN(),TRUE)</f>
        <v/>
      </c>
      <c r="P114" s="48">
        <f>VLOOKUP($A114,'Página31'!$A$1:$V$27,COLUMN(),TRUE)</f>
        <v>16605.16</v>
      </c>
      <c r="Q114" s="48" t="str">
        <f>VLOOKUP($A114,'Página31'!$A$1:$V$27,COLUMN(),TRUE)</f>
        <v/>
      </c>
      <c r="R114" s="48">
        <f>VLOOKUP($A114,'Página31'!$A$1:$V$27,COLUMN(),TRUE)</f>
        <v>29760.95</v>
      </c>
      <c r="S114" s="48" t="str">
        <f>VLOOKUP($A114,'Página31'!$A$1:$V$27,COLUMN(),TRUE)</f>
        <v/>
      </c>
      <c r="T114" s="73">
        <f t="shared" si="5"/>
        <v>2025</v>
      </c>
      <c r="U114" s="73">
        <f t="shared" si="6"/>
        <v>5</v>
      </c>
    </row>
    <row r="115">
      <c r="A115" s="34">
        <v>45809.0</v>
      </c>
      <c r="B115" s="48">
        <f t="shared" si="7"/>
        <v>20633.04</v>
      </c>
      <c r="C115" s="48">
        <f>ROUND(IF(MONTH($A115)=12,2.333,1)*VLOOKUP($A115,'Página31'!$A$1:$V$27,COLUMN(),TRUE),2)</f>
        <v>34827.47</v>
      </c>
      <c r="D115" s="48">
        <f t="shared" si="2"/>
        <v>29761.03</v>
      </c>
      <c r="E115" s="48">
        <f>ROUND(IF(MONTH($A115)=12,2.333,1)*VLOOKUP($A115,'Página31'!$A$1:$V$27,COLUMN(),TRUE),2)</f>
        <v>34827.47</v>
      </c>
      <c r="F115" s="48">
        <f>ROUND(IF(MONTH($A115)=12,2.333,1)*VLOOKUP($A115,'Página31'!$A$1:$V$27,COLUMN(),TRUE),2)</f>
        <v>0</v>
      </c>
      <c r="G115" s="48">
        <f t="shared" si="8"/>
        <v>16605.16</v>
      </c>
      <c r="H115" s="48">
        <f>ROUND(IF(MONTH($A115)=12,2.333,1)*VLOOKUP($A115,'Página31'!$A$1:$V$27,COLUMN(),TRUE),2)</f>
        <v>30947.21</v>
      </c>
      <c r="I115" s="48">
        <f t="shared" si="4"/>
        <v>29760.95</v>
      </c>
      <c r="J115" s="48">
        <f>ROUND(IF(MONTH($A115)=12,2.333,1)*VLOOKUP($A115,'Página31'!$A$1:$V$27,COLUMN(),TRUE),2)</f>
        <v>23776.89</v>
      </c>
      <c r="K115" s="48">
        <f>ROUND(IF(MONTH($A115)=12,2.333,1)*VLOOKUP($A115,'Página31'!$A$1:$V$27,COLUMN(),TRUE),2)</f>
        <v>22184.71</v>
      </c>
      <c r="L115" s="48" t="str">
        <f>VLOOKUP($A115,'Página31'!$A$1:$V$27,COLUMN(),TRUE)</f>
        <v/>
      </c>
      <c r="M115" s="48">
        <f>VLOOKUP($A115,'Página31'!$A$1:$V$27,COLUMN(),TRUE)</f>
        <v>21162.0845</v>
      </c>
      <c r="N115" s="48">
        <f>VLOOKUP($A115,'Página31'!$A$1:$V$27,COLUMN(),TRUE)</f>
        <v>29761.03</v>
      </c>
      <c r="O115" s="48" t="str">
        <f>VLOOKUP($A115,'Página31'!$A$1:$V$27,COLUMN(),TRUE)</f>
        <v/>
      </c>
      <c r="P115" s="48">
        <f>VLOOKUP($A115,'Página31'!$A$1:$V$27,COLUMN(),TRUE)</f>
        <v>16605.16</v>
      </c>
      <c r="Q115" s="48" t="str">
        <f>VLOOKUP($A115,'Página31'!$A$1:$V$27,COLUMN(),TRUE)</f>
        <v/>
      </c>
      <c r="R115" s="48">
        <f>VLOOKUP($A115,'Página31'!$A$1:$V$27,COLUMN(),TRUE)</f>
        <v>29760.95</v>
      </c>
      <c r="S115" s="48" t="str">
        <f>VLOOKUP($A115,'Página31'!$A$1:$V$27,COLUMN(),TRUE)</f>
        <v/>
      </c>
      <c r="T115" s="73">
        <f t="shared" si="5"/>
        <v>2025</v>
      </c>
      <c r="U115" s="73">
        <f t="shared" si="6"/>
        <v>6</v>
      </c>
    </row>
    <row r="116">
      <c r="A116" s="34">
        <v>45839.0</v>
      </c>
      <c r="B116" s="48">
        <f t="shared" si="7"/>
        <v>20633.04</v>
      </c>
      <c r="C116" s="48">
        <f>ROUND(IF(MONTH($A116)=12,2.333,1)*VLOOKUP($A116,'Página31'!$A$1:$V$27,COLUMN(),TRUE),2)</f>
        <v>34827.47</v>
      </c>
      <c r="D116" s="48">
        <f t="shared" si="2"/>
        <v>29761.03</v>
      </c>
      <c r="E116" s="48">
        <f>ROUND(IF(MONTH($A116)=12,2.333,1)*VLOOKUP($A116,'Página31'!$A$1:$V$27,COLUMN(),TRUE),2)</f>
        <v>34827.47</v>
      </c>
      <c r="F116" s="48">
        <f>ROUND(IF(MONTH($A116)=12,2.333,1)*VLOOKUP($A116,'Página31'!$A$1:$V$27,COLUMN(),TRUE),2)</f>
        <v>0</v>
      </c>
      <c r="G116" s="48">
        <f t="shared" si="8"/>
        <v>16605.16</v>
      </c>
      <c r="H116" s="48">
        <f>ROUND(IF(MONTH($A116)=12,2.333,1)*VLOOKUP($A116,'Página31'!$A$1:$V$27,COLUMN(),TRUE),2)</f>
        <v>30947.21</v>
      </c>
      <c r="I116" s="48">
        <f t="shared" si="4"/>
        <v>29760.95</v>
      </c>
      <c r="J116" s="48">
        <f>ROUND(IF(MONTH($A116)=12,2.333,1)*VLOOKUP($A116,'Página31'!$A$1:$V$27,COLUMN(),TRUE),2)</f>
        <v>23776.89</v>
      </c>
      <c r="K116" s="48">
        <f>ROUND(IF(MONTH($A116)=12,2.333,1)*VLOOKUP($A116,'Página31'!$A$1:$V$27,COLUMN(),TRUE),2)</f>
        <v>22184.71</v>
      </c>
      <c r="L116" s="48" t="str">
        <f>VLOOKUP($A116,'Página31'!$A$1:$V$27,COLUMN(),TRUE)</f>
        <v/>
      </c>
      <c r="M116" s="48">
        <f>VLOOKUP($A116,'Página31'!$A$1:$V$27,COLUMN(),TRUE)</f>
        <v>21162.0845</v>
      </c>
      <c r="N116" s="48">
        <f>VLOOKUP($A116,'Página31'!$A$1:$V$27,COLUMN(),TRUE)</f>
        <v>29761.03</v>
      </c>
      <c r="O116" s="48" t="str">
        <f>VLOOKUP($A116,'Página31'!$A$1:$V$27,COLUMN(),TRUE)</f>
        <v/>
      </c>
      <c r="P116" s="48">
        <f>VLOOKUP($A116,'Página31'!$A$1:$V$27,COLUMN(),TRUE)</f>
        <v>16605.16</v>
      </c>
      <c r="Q116" s="48" t="str">
        <f>VLOOKUP($A116,'Página31'!$A$1:$V$27,COLUMN(),TRUE)</f>
        <v/>
      </c>
      <c r="R116" s="48">
        <f>VLOOKUP($A116,'Página31'!$A$1:$V$27,COLUMN(),TRUE)</f>
        <v>29760.95</v>
      </c>
      <c r="S116" s="48" t="str">
        <f>VLOOKUP($A116,'Página31'!$A$1:$V$27,COLUMN(),TRUE)</f>
        <v/>
      </c>
      <c r="T116" s="73">
        <f t="shared" si="5"/>
        <v>2025</v>
      </c>
      <c r="U116" s="73">
        <f t="shared" si="6"/>
        <v>7</v>
      </c>
    </row>
    <row r="117">
      <c r="A117" s="34">
        <v>45870.0</v>
      </c>
      <c r="B117" s="48">
        <f t="shared" si="7"/>
        <v>20633.04</v>
      </c>
      <c r="C117" s="48">
        <f>ROUND(IF(MONTH($A117)=12,2.333,1)*VLOOKUP($A117,'Página31'!$A$1:$V$27,COLUMN(),TRUE),2)</f>
        <v>34827.47</v>
      </c>
      <c r="D117" s="48">
        <f t="shared" si="2"/>
        <v>29761.03</v>
      </c>
      <c r="E117" s="48">
        <f>ROUND(IF(MONTH($A117)=12,2.333,1)*VLOOKUP($A117,'Página31'!$A$1:$V$27,COLUMN(),TRUE),2)</f>
        <v>34827.47</v>
      </c>
      <c r="F117" s="48">
        <f>ROUND(IF(MONTH($A117)=12,2.333,1)*VLOOKUP($A117,'Página31'!$A$1:$V$27,COLUMN(),TRUE),2)</f>
        <v>0</v>
      </c>
      <c r="G117" s="48">
        <f t="shared" si="8"/>
        <v>16605.16</v>
      </c>
      <c r="H117" s="48">
        <f>ROUND(IF(MONTH($A117)=12,2.333,1)*VLOOKUP($A117,'Página31'!$A$1:$V$27,COLUMN(),TRUE),2)</f>
        <v>30947.21</v>
      </c>
      <c r="I117" s="48">
        <f t="shared" si="4"/>
        <v>29760.95</v>
      </c>
      <c r="J117" s="48">
        <f>ROUND(IF(MONTH($A117)=12,2.333,1)*VLOOKUP($A117,'Página31'!$A$1:$V$27,COLUMN(),TRUE),2)</f>
        <v>23776.89</v>
      </c>
      <c r="K117" s="48">
        <f>ROUND(IF(MONTH($A117)=12,2.333,1)*VLOOKUP($A117,'Página31'!$A$1:$V$27,COLUMN(),TRUE),2)</f>
        <v>22184.71</v>
      </c>
      <c r="L117" s="48" t="str">
        <f>VLOOKUP($A117,'Página31'!$A$1:$V$27,COLUMN(),TRUE)</f>
        <v/>
      </c>
      <c r="M117" s="48">
        <f>VLOOKUP($A117,'Página31'!$A$1:$V$27,COLUMN(),TRUE)</f>
        <v>21162.0845</v>
      </c>
      <c r="N117" s="48">
        <f>VLOOKUP($A117,'Página31'!$A$1:$V$27,COLUMN(),TRUE)</f>
        <v>29761.03</v>
      </c>
      <c r="O117" s="48" t="str">
        <f>VLOOKUP($A117,'Página31'!$A$1:$V$27,COLUMN(),TRUE)</f>
        <v/>
      </c>
      <c r="P117" s="48">
        <f>VLOOKUP($A117,'Página31'!$A$1:$V$27,COLUMN(),TRUE)</f>
        <v>16605.16</v>
      </c>
      <c r="Q117" s="48" t="str">
        <f>VLOOKUP($A117,'Página31'!$A$1:$V$27,COLUMN(),TRUE)</f>
        <v/>
      </c>
      <c r="R117" s="48">
        <f>VLOOKUP($A117,'Página31'!$A$1:$V$27,COLUMN(),TRUE)</f>
        <v>29760.95</v>
      </c>
      <c r="S117" s="48" t="str">
        <f>VLOOKUP($A117,'Página31'!$A$1:$V$27,COLUMN(),TRUE)</f>
        <v/>
      </c>
      <c r="T117" s="73">
        <f t="shared" si="5"/>
        <v>2025</v>
      </c>
      <c r="U117" s="73">
        <f t="shared" si="6"/>
        <v>8</v>
      </c>
    </row>
    <row r="118">
      <c r="A118" s="34">
        <v>45901.0</v>
      </c>
      <c r="B118" s="48">
        <f t="shared" si="7"/>
        <v>20633.04</v>
      </c>
      <c r="C118" s="48">
        <f>ROUND(IF(MONTH($A118)=12,2.333,1)*VLOOKUP($A118,'Página31'!$A$1:$V$27,COLUMN(),TRUE),2)</f>
        <v>34827.47</v>
      </c>
      <c r="D118" s="48">
        <f t="shared" si="2"/>
        <v>29761.03</v>
      </c>
      <c r="E118" s="48">
        <f>ROUND(IF(MONTH($A118)=12,2.333,1)*VLOOKUP($A118,'Página31'!$A$1:$V$27,COLUMN(),TRUE),2)</f>
        <v>34827.47</v>
      </c>
      <c r="F118" s="48">
        <f>ROUND(IF(MONTH($A118)=12,2.333,1)*VLOOKUP($A118,'Página31'!$A$1:$V$27,COLUMN(),TRUE),2)</f>
        <v>0</v>
      </c>
      <c r="G118" s="48">
        <f t="shared" si="8"/>
        <v>16605.16</v>
      </c>
      <c r="H118" s="48">
        <f>ROUND(IF(MONTH($A118)=12,2.333,1)*VLOOKUP($A118,'Página31'!$A$1:$V$27,COLUMN(),TRUE),2)</f>
        <v>30947.21</v>
      </c>
      <c r="I118" s="48">
        <f t="shared" si="4"/>
        <v>29760.95</v>
      </c>
      <c r="J118" s="48">
        <f>ROUND(IF(MONTH($A118)=12,2.333,1)*VLOOKUP($A118,'Página31'!$A$1:$V$27,COLUMN(),TRUE),2)</f>
        <v>23776.89</v>
      </c>
      <c r="K118" s="48">
        <f>ROUND(IF(MONTH($A118)=12,2.333,1)*VLOOKUP($A118,'Página31'!$A$1:$V$27,COLUMN(),TRUE),2)</f>
        <v>22184.71</v>
      </c>
      <c r="L118" s="48" t="str">
        <f>VLOOKUP($A118,'Página31'!$A$1:$V$27,COLUMN(),TRUE)</f>
        <v/>
      </c>
      <c r="M118" s="48">
        <f>VLOOKUP($A118,'Página31'!$A$1:$V$27,COLUMN(),TRUE)</f>
        <v>21162.0845</v>
      </c>
      <c r="N118" s="48">
        <f>VLOOKUP($A118,'Página31'!$A$1:$V$27,COLUMN(),TRUE)</f>
        <v>29761.03</v>
      </c>
      <c r="O118" s="48" t="str">
        <f>VLOOKUP($A118,'Página31'!$A$1:$V$27,COLUMN(),TRUE)</f>
        <v/>
      </c>
      <c r="P118" s="48">
        <f>VLOOKUP($A118,'Página31'!$A$1:$V$27,COLUMN(),TRUE)</f>
        <v>16605.16</v>
      </c>
      <c r="Q118" s="48" t="str">
        <f>VLOOKUP($A118,'Página31'!$A$1:$V$27,COLUMN(),TRUE)</f>
        <v/>
      </c>
      <c r="R118" s="48">
        <f>VLOOKUP($A118,'Página31'!$A$1:$V$27,COLUMN(),TRUE)</f>
        <v>29760.95</v>
      </c>
      <c r="S118" s="48" t="str">
        <f>VLOOKUP($A118,'Página31'!$A$1:$V$27,COLUMN(),TRUE)</f>
        <v/>
      </c>
      <c r="T118" s="73">
        <f t="shared" si="5"/>
        <v>2025</v>
      </c>
      <c r="U118" s="73">
        <f t="shared" si="6"/>
        <v>9</v>
      </c>
    </row>
    <row r="119">
      <c r="A119" s="34">
        <v>45931.0</v>
      </c>
      <c r="B119" s="48">
        <f t="shared" si="7"/>
        <v>20633.04</v>
      </c>
      <c r="C119" s="48">
        <f>ROUND(IF(MONTH($A119)=12,2.333,1)*VLOOKUP($A119,'Página31'!$A$1:$V$27,COLUMN(),TRUE),2)</f>
        <v>34827.47</v>
      </c>
      <c r="D119" s="48">
        <f t="shared" si="2"/>
        <v>29761.03</v>
      </c>
      <c r="E119" s="48">
        <f>ROUND(IF(MONTH($A119)=12,2.333,1)*VLOOKUP($A119,'Página31'!$A$1:$V$27,COLUMN(),TRUE),2)</f>
        <v>34827.47</v>
      </c>
      <c r="F119" s="48">
        <f>ROUND(IF(MONTH($A119)=12,2.333,1)*VLOOKUP($A119,'Página31'!$A$1:$V$27,COLUMN(),TRUE),2)</f>
        <v>0</v>
      </c>
      <c r="G119" s="48">
        <f t="shared" si="8"/>
        <v>16605.16</v>
      </c>
      <c r="H119" s="48">
        <f>ROUND(IF(MONTH($A119)=12,2.333,1)*VLOOKUP($A119,'Página31'!$A$1:$V$27,COLUMN(),TRUE),2)</f>
        <v>30947.21</v>
      </c>
      <c r="I119" s="48">
        <f t="shared" si="4"/>
        <v>29760.95</v>
      </c>
      <c r="J119" s="48">
        <f>ROUND(IF(MONTH($A119)=12,2.333,1)*VLOOKUP($A119,'Página31'!$A$1:$V$27,COLUMN(),TRUE),2)</f>
        <v>23776.89</v>
      </c>
      <c r="K119" s="48">
        <f>ROUND(IF(MONTH($A119)=12,2.333,1)*VLOOKUP($A119,'Página31'!$A$1:$V$27,COLUMN(),TRUE),2)</f>
        <v>22184.71</v>
      </c>
      <c r="L119" s="48" t="str">
        <f>VLOOKUP($A119,'Página31'!$A$1:$V$27,COLUMN(),TRUE)</f>
        <v/>
      </c>
      <c r="M119" s="48">
        <f>VLOOKUP($A119,'Página31'!$A$1:$V$27,COLUMN(),TRUE)</f>
        <v>21162.0845</v>
      </c>
      <c r="N119" s="48">
        <f>VLOOKUP($A119,'Página31'!$A$1:$V$27,COLUMN(),TRUE)</f>
        <v>29761.03</v>
      </c>
      <c r="O119" s="48" t="str">
        <f>VLOOKUP($A119,'Página31'!$A$1:$V$27,COLUMN(),TRUE)</f>
        <v/>
      </c>
      <c r="P119" s="48">
        <f>VLOOKUP($A119,'Página31'!$A$1:$V$27,COLUMN(),TRUE)</f>
        <v>16605.16</v>
      </c>
      <c r="Q119" s="48" t="str">
        <f>VLOOKUP($A119,'Página31'!$A$1:$V$27,COLUMN(),TRUE)</f>
        <v/>
      </c>
      <c r="R119" s="48">
        <f>VLOOKUP($A119,'Página31'!$A$1:$V$27,COLUMN(),TRUE)</f>
        <v>29760.95</v>
      </c>
      <c r="S119" s="48" t="str">
        <f>VLOOKUP($A119,'Página31'!$A$1:$V$27,COLUMN(),TRUE)</f>
        <v/>
      </c>
      <c r="T119" s="73">
        <f t="shared" si="5"/>
        <v>2025</v>
      </c>
      <c r="U119" s="73">
        <f t="shared" si="6"/>
        <v>10</v>
      </c>
    </row>
    <row r="120">
      <c r="A120" s="34">
        <v>45962.0</v>
      </c>
      <c r="B120" s="48">
        <f t="shared" si="7"/>
        <v>20633.04</v>
      </c>
      <c r="C120" s="48">
        <f>ROUND(IF(MONTH($A120)=12,2.333,1)*VLOOKUP($A120,'Página31'!$A$1:$V$27,COLUMN(),TRUE),2)</f>
        <v>34827.47</v>
      </c>
      <c r="D120" s="48">
        <f t="shared" si="2"/>
        <v>29761.03</v>
      </c>
      <c r="E120" s="48">
        <f>ROUND(IF(MONTH($A120)=12,2.333,1)*VLOOKUP($A120,'Página31'!$A$1:$V$27,COLUMN(),TRUE),2)</f>
        <v>34827.47</v>
      </c>
      <c r="F120" s="48">
        <f>ROUND(IF(MONTH($A120)=12,2.333,1)*VLOOKUP($A120,'Página31'!$A$1:$V$27,COLUMN(),TRUE),2)</f>
        <v>0</v>
      </c>
      <c r="G120" s="48">
        <f t="shared" si="8"/>
        <v>16605.16</v>
      </c>
      <c r="H120" s="48">
        <f>ROUND(IF(MONTH($A120)=12,2.333,1)*VLOOKUP($A120,'Página31'!$A$1:$V$27,COLUMN(),TRUE),2)</f>
        <v>30947.21</v>
      </c>
      <c r="I120" s="48">
        <f t="shared" si="4"/>
        <v>29760.95</v>
      </c>
      <c r="J120" s="48">
        <f>ROUND(IF(MONTH($A120)=12,2.333,1)*VLOOKUP($A120,'Página31'!$A$1:$V$27,COLUMN(),TRUE),2)</f>
        <v>23776.89</v>
      </c>
      <c r="K120" s="48">
        <f>ROUND(IF(MONTH($A120)=12,2.333,1)*VLOOKUP($A120,'Página31'!$A$1:$V$27,COLUMN(),TRUE),2)</f>
        <v>22184.71</v>
      </c>
      <c r="L120" s="48" t="str">
        <f>VLOOKUP($A120,'Página31'!$A$1:$V$27,COLUMN(),TRUE)</f>
        <v/>
      </c>
      <c r="M120" s="48">
        <f>VLOOKUP($A120,'Página31'!$A$1:$V$27,COLUMN(),TRUE)</f>
        <v>21162.0845</v>
      </c>
      <c r="N120" s="48">
        <f>VLOOKUP($A120,'Página31'!$A$1:$V$27,COLUMN(),TRUE)</f>
        <v>29761.03</v>
      </c>
      <c r="O120" s="48" t="str">
        <f>VLOOKUP($A120,'Página31'!$A$1:$V$27,COLUMN(),TRUE)</f>
        <v/>
      </c>
      <c r="P120" s="48">
        <f>VLOOKUP($A120,'Página31'!$A$1:$V$27,COLUMN(),TRUE)</f>
        <v>16605.16</v>
      </c>
      <c r="Q120" s="48" t="str">
        <f>VLOOKUP($A120,'Página31'!$A$1:$V$27,COLUMN(),TRUE)</f>
        <v/>
      </c>
      <c r="R120" s="48">
        <f>VLOOKUP($A120,'Página31'!$A$1:$V$27,COLUMN(),TRUE)</f>
        <v>29760.95</v>
      </c>
      <c r="S120" s="48" t="str">
        <f>VLOOKUP($A120,'Página31'!$A$1:$V$27,COLUMN(),TRUE)</f>
        <v/>
      </c>
      <c r="T120" s="73">
        <f t="shared" si="5"/>
        <v>2025</v>
      </c>
      <c r="U120" s="73">
        <f t="shared" si="6"/>
        <v>11</v>
      </c>
    </row>
    <row r="121">
      <c r="A121" s="34">
        <v>45992.0</v>
      </c>
      <c r="B121" s="48">
        <f t="shared" si="7"/>
        <v>48136.88</v>
      </c>
      <c r="C121" s="48">
        <f>ROUND(IF(MONTH($A121)=12,2.333,1)*VLOOKUP($A121,'Página31'!$A$1:$V$27,COLUMN(),TRUE),2)</f>
        <v>81252.5</v>
      </c>
      <c r="D121" s="48">
        <f t="shared" si="2"/>
        <v>69432.48</v>
      </c>
      <c r="E121" s="48">
        <f>ROUND(IF(MONTH($A121)=12,2.333,1)*VLOOKUP($A121,'Página31'!$A$1:$V$27,COLUMN(),TRUE),2)</f>
        <v>81252.5</v>
      </c>
      <c r="F121" s="48">
        <f>ROUND(IF(MONTH($A121)=12,2.333,1)*VLOOKUP($A121,'Página31'!$A$1:$V$27,COLUMN(),TRUE),2)</f>
        <v>0</v>
      </c>
      <c r="G121" s="48">
        <f t="shared" si="8"/>
        <v>38739.84</v>
      </c>
      <c r="H121" s="48">
        <f>ROUND(IF(MONTH($A121)=12,2.333,1)*VLOOKUP($A121,'Página31'!$A$1:$V$27,COLUMN(),TRUE),2)</f>
        <v>72199.85</v>
      </c>
      <c r="I121" s="48">
        <f t="shared" si="4"/>
        <v>69432.3</v>
      </c>
      <c r="J121" s="48">
        <f>ROUND(IF(MONTH($A121)=12,2.333,1)*VLOOKUP($A121,'Página31'!$A$1:$V$27,COLUMN(),TRUE),2)</f>
        <v>55471.49</v>
      </c>
      <c r="K121" s="48">
        <f>ROUND(IF(MONTH($A121)=12,2.333,1)*VLOOKUP($A121,'Página31'!$A$1:$V$27,COLUMN(),TRUE),2)</f>
        <v>51756.92</v>
      </c>
      <c r="L121" s="48" t="str">
        <f>VLOOKUP($A121,'Página31'!$A$1:$V$27,COLUMN(),TRUE)</f>
        <v/>
      </c>
      <c r="M121" s="48">
        <f>VLOOKUP($A121,'Página31'!$A$1:$V$27,COLUMN(),TRUE)</f>
        <v>21162.0845</v>
      </c>
      <c r="N121" s="48">
        <f>VLOOKUP($A121,'Página31'!$A$1:$V$27,COLUMN(),TRUE)</f>
        <v>29761.03</v>
      </c>
      <c r="O121" s="48" t="str">
        <f>VLOOKUP($A121,'Página31'!$A$1:$V$27,COLUMN(),TRUE)</f>
        <v/>
      </c>
      <c r="P121" s="48">
        <f>VLOOKUP($A121,'Página31'!$A$1:$V$27,COLUMN(),TRUE)</f>
        <v>16605.16</v>
      </c>
      <c r="Q121" s="48" t="str">
        <f>VLOOKUP($A121,'Página31'!$A$1:$V$27,COLUMN(),TRUE)</f>
        <v/>
      </c>
      <c r="R121" s="48">
        <f>VLOOKUP($A121,'Página31'!$A$1:$V$27,COLUMN(),TRUE)</f>
        <v>29760.95</v>
      </c>
      <c r="S121" s="48" t="str">
        <f>VLOOKUP($A121,'Página31'!$A$1:$V$27,COLUMN(),TRUE)</f>
        <v/>
      </c>
      <c r="T121" s="73">
        <f t="shared" si="5"/>
        <v>2025</v>
      </c>
      <c r="U121" s="73">
        <f t="shared" si="6"/>
        <v>12</v>
      </c>
    </row>
    <row r="122">
      <c r="A122" s="34">
        <v>46023.0</v>
      </c>
      <c r="B122" s="48">
        <f t="shared" si="7"/>
        <v>20633.04</v>
      </c>
      <c r="C122" s="48">
        <f>ROUND(IF(MONTH($A122)=12,2.333,1)*VLOOKUP($A122,'Página31'!$A$1:$V$27,COLUMN(),TRUE),2)</f>
        <v>34827.47</v>
      </c>
      <c r="D122" s="48">
        <f t="shared" si="2"/>
        <v>29761.03</v>
      </c>
      <c r="E122" s="48">
        <f>ROUND(IF(MONTH($A122)=12,2.333,1)*VLOOKUP($A122,'Página31'!$A$1:$V$27,COLUMN(),TRUE),2)</f>
        <v>34827.47</v>
      </c>
      <c r="F122" s="48">
        <f>ROUND(IF(MONTH($A122)=12,2.333,1)*VLOOKUP($A122,'Página31'!$A$1:$V$27,COLUMN(),TRUE),2)</f>
        <v>0</v>
      </c>
      <c r="G122" s="48">
        <f t="shared" si="8"/>
        <v>16605.16</v>
      </c>
      <c r="H122" s="48">
        <f>ROUND(IF(MONTH($A122)=12,2.333,1)*VLOOKUP($A122,'Página31'!$A$1:$V$27,COLUMN(),TRUE),2)</f>
        <v>30947.21</v>
      </c>
      <c r="I122" s="48">
        <f t="shared" si="4"/>
        <v>29760.95</v>
      </c>
      <c r="J122" s="48">
        <f>ROUND(IF(MONTH($A122)=12,2.333,1)*VLOOKUP($A122,'Página31'!$A$1:$V$27,COLUMN(),TRUE),2)</f>
        <v>23776.89</v>
      </c>
      <c r="K122" s="48">
        <f>ROUND(IF(MONTH($A122)=12,2.333,1)*VLOOKUP($A122,'Página31'!$A$1:$V$27,COLUMN(),TRUE),2)</f>
        <v>22184.71</v>
      </c>
      <c r="L122" s="48" t="str">
        <f>VLOOKUP($A122,'Página31'!$A$1:$V$27,COLUMN(),TRUE)</f>
        <v/>
      </c>
      <c r="M122" s="48">
        <f>VLOOKUP($A122,'Página31'!$A$1:$V$27,COLUMN(),TRUE)</f>
        <v>21162.0845</v>
      </c>
      <c r="N122" s="48">
        <f>VLOOKUP($A122,'Página31'!$A$1:$V$27,COLUMN(),TRUE)</f>
        <v>29761.03</v>
      </c>
      <c r="O122" s="48" t="str">
        <f>VLOOKUP($A122,'Página31'!$A$1:$V$27,COLUMN(),TRUE)</f>
        <v/>
      </c>
      <c r="P122" s="48">
        <f>VLOOKUP($A122,'Página31'!$A$1:$V$27,COLUMN(),TRUE)</f>
        <v>16605.16</v>
      </c>
      <c r="Q122" s="48" t="str">
        <f>VLOOKUP($A122,'Página31'!$A$1:$V$27,COLUMN(),TRUE)</f>
        <v/>
      </c>
      <c r="R122" s="48">
        <f>VLOOKUP($A122,'Página31'!$A$1:$V$27,COLUMN(),TRUE)</f>
        <v>29760.95</v>
      </c>
      <c r="S122" s="48" t="str">
        <f>VLOOKUP($A122,'Página31'!$A$1:$V$27,COLUMN(),TRUE)</f>
        <v/>
      </c>
      <c r="T122" s="73">
        <f t="shared" si="5"/>
        <v>2026</v>
      </c>
      <c r="U122" s="73">
        <f t="shared" si="6"/>
        <v>1</v>
      </c>
    </row>
    <row r="123">
      <c r="A123" s="34">
        <v>46054.0</v>
      </c>
      <c r="B123" s="48">
        <f t="shared" si="7"/>
        <v>20633.04</v>
      </c>
      <c r="C123" s="48">
        <f>ROUND(IF(MONTH($A123)=12,2.333,1)*VLOOKUP($A123,'Página31'!$A$1:$V$27,COLUMN(),TRUE),2)</f>
        <v>34827.47</v>
      </c>
      <c r="D123" s="48">
        <f t="shared" si="2"/>
        <v>29761.03</v>
      </c>
      <c r="E123" s="48">
        <f>ROUND(IF(MONTH($A123)=12,2.333,1)*VLOOKUP($A123,'Página31'!$A$1:$V$27,COLUMN(),TRUE),2)</f>
        <v>34827.47</v>
      </c>
      <c r="F123" s="48">
        <f>ROUND(IF(MONTH($A123)=12,2.333,1)*VLOOKUP($A123,'Página31'!$A$1:$V$27,COLUMN(),TRUE),2)</f>
        <v>0</v>
      </c>
      <c r="G123" s="48">
        <f t="shared" si="8"/>
        <v>16605.16</v>
      </c>
      <c r="H123" s="48">
        <f>ROUND(IF(MONTH($A123)=12,2.333,1)*VLOOKUP($A123,'Página31'!$A$1:$V$27,COLUMN(),TRUE),2)</f>
        <v>30947.21</v>
      </c>
      <c r="I123" s="48">
        <f t="shared" si="4"/>
        <v>29760.95</v>
      </c>
      <c r="J123" s="48">
        <f>ROUND(IF(MONTH($A123)=12,2.333,1)*VLOOKUP($A123,'Página31'!$A$1:$V$27,COLUMN(),TRUE),2)</f>
        <v>23776.89</v>
      </c>
      <c r="K123" s="48">
        <f>ROUND(IF(MONTH($A123)=12,2.333,1)*VLOOKUP($A123,'Página31'!$A$1:$V$27,COLUMN(),TRUE),2)</f>
        <v>22184.71</v>
      </c>
      <c r="L123" s="48" t="str">
        <f>VLOOKUP($A123,'Página31'!$A$1:$V$27,COLUMN(),TRUE)</f>
        <v/>
      </c>
      <c r="M123" s="48">
        <f>VLOOKUP($A123,'Página31'!$A$1:$V$27,COLUMN(),TRUE)</f>
        <v>21162.0845</v>
      </c>
      <c r="N123" s="48">
        <f>VLOOKUP($A123,'Página31'!$A$1:$V$27,COLUMN(),TRUE)</f>
        <v>29761.03</v>
      </c>
      <c r="O123" s="48" t="str">
        <f>VLOOKUP($A123,'Página31'!$A$1:$V$27,COLUMN(),TRUE)</f>
        <v/>
      </c>
      <c r="P123" s="48">
        <f>VLOOKUP($A123,'Página31'!$A$1:$V$27,COLUMN(),TRUE)</f>
        <v>16605.16</v>
      </c>
      <c r="Q123" s="48" t="str">
        <f>VLOOKUP($A123,'Página31'!$A$1:$V$27,COLUMN(),TRUE)</f>
        <v/>
      </c>
      <c r="R123" s="48">
        <f>VLOOKUP($A123,'Página31'!$A$1:$V$27,COLUMN(),TRUE)</f>
        <v>29760.95</v>
      </c>
      <c r="S123" s="48" t="str">
        <f>VLOOKUP($A123,'Página31'!$A$1:$V$27,COLUMN(),TRUE)</f>
        <v/>
      </c>
      <c r="T123" s="73">
        <f t="shared" si="5"/>
        <v>2026</v>
      </c>
      <c r="U123" s="73">
        <f t="shared" si="6"/>
        <v>2</v>
      </c>
    </row>
    <row r="124">
      <c r="A124" s="34">
        <v>46082.0</v>
      </c>
      <c r="B124" s="48">
        <f t="shared" si="7"/>
        <v>20633.04</v>
      </c>
      <c r="C124" s="48">
        <f>ROUND(IF(MONTH($A124)=12,2.333,1)*VLOOKUP($A124,'Página31'!$A$1:$V$27,COLUMN(),TRUE),2)</f>
        <v>34827.47</v>
      </c>
      <c r="D124" s="48">
        <f t="shared" si="2"/>
        <v>29761.03</v>
      </c>
      <c r="E124" s="48">
        <f>ROUND(IF(MONTH($A124)=12,2.333,1)*VLOOKUP($A124,'Página31'!$A$1:$V$27,COLUMN(),TRUE),2)</f>
        <v>34827.47</v>
      </c>
      <c r="F124" s="48">
        <f>ROUND(IF(MONTH($A124)=12,2.333,1)*VLOOKUP($A124,'Página31'!$A$1:$V$27,COLUMN(),TRUE),2)</f>
        <v>0</v>
      </c>
      <c r="G124" s="48">
        <f t="shared" si="8"/>
        <v>16605.16</v>
      </c>
      <c r="H124" s="48">
        <f>ROUND(IF(MONTH($A124)=12,2.333,1)*VLOOKUP($A124,'Página31'!$A$1:$V$27,COLUMN(),TRUE),2)</f>
        <v>30947.21</v>
      </c>
      <c r="I124" s="48">
        <f t="shared" si="4"/>
        <v>29760.95</v>
      </c>
      <c r="J124" s="48">
        <f>ROUND(IF(MONTH($A124)=12,2.333,1)*VLOOKUP($A124,'Página31'!$A$1:$V$27,COLUMN(),TRUE),2)</f>
        <v>23776.89</v>
      </c>
      <c r="K124" s="48">
        <f>ROUND(IF(MONTH($A124)=12,2.333,1)*VLOOKUP($A124,'Página31'!$A$1:$V$27,COLUMN(),TRUE),2)</f>
        <v>22184.71</v>
      </c>
      <c r="L124" s="48" t="str">
        <f>VLOOKUP($A124,'Página31'!$A$1:$V$27,COLUMN(),TRUE)</f>
        <v/>
      </c>
      <c r="M124" s="48">
        <f>VLOOKUP($A124,'Página31'!$A$1:$V$27,COLUMN(),TRUE)</f>
        <v>21162.0845</v>
      </c>
      <c r="N124" s="48">
        <f>VLOOKUP($A124,'Página31'!$A$1:$V$27,COLUMN(),TRUE)</f>
        <v>29761.03</v>
      </c>
      <c r="O124" s="48" t="str">
        <f>VLOOKUP($A124,'Página31'!$A$1:$V$27,COLUMN(),TRUE)</f>
        <v/>
      </c>
      <c r="P124" s="48">
        <f>VLOOKUP($A124,'Página31'!$A$1:$V$27,COLUMN(),TRUE)</f>
        <v>16605.16</v>
      </c>
      <c r="Q124" s="48" t="str">
        <f>VLOOKUP($A124,'Página31'!$A$1:$V$27,COLUMN(),TRUE)</f>
        <v/>
      </c>
      <c r="R124" s="48">
        <f>VLOOKUP($A124,'Página31'!$A$1:$V$27,COLUMN(),TRUE)</f>
        <v>29760.95</v>
      </c>
      <c r="S124" s="48" t="str">
        <f>VLOOKUP($A124,'Página31'!$A$1:$V$27,COLUMN(),TRUE)</f>
        <v/>
      </c>
      <c r="T124" s="73">
        <f t="shared" si="5"/>
        <v>2026</v>
      </c>
      <c r="U124" s="73">
        <f t="shared" si="6"/>
        <v>3</v>
      </c>
    </row>
    <row r="125">
      <c r="A125" s="34">
        <v>46113.0</v>
      </c>
      <c r="B125" s="48">
        <f t="shared" si="7"/>
        <v>22698.81</v>
      </c>
      <c r="C125" s="48">
        <f>ROUND(IF(MONTH($A125)=12,2.333,1)*VLOOKUP($A125,'Página31'!$A$1:$V$27,COLUMN(),TRUE),2)</f>
        <v>38625.26</v>
      </c>
      <c r="D125" s="48">
        <f t="shared" si="2"/>
        <v>29761.03</v>
      </c>
      <c r="E125" s="48">
        <f>ROUND(IF(MONTH($A125)=12,2.333,1)*VLOOKUP($A125,'Página31'!$A$1:$V$27,COLUMN(),TRUE),2)</f>
        <v>38625.26</v>
      </c>
      <c r="F125" s="48">
        <f>ROUND(IF(MONTH($A125)=12,2.333,1)*VLOOKUP($A125,'Página31'!$A$1:$V$27,COLUMN(),TRUE),2)</f>
        <v>0</v>
      </c>
      <c r="G125" s="48">
        <f t="shared" si="8"/>
        <v>16605.16</v>
      </c>
      <c r="H125" s="48">
        <f>ROUND(IF(MONTH($A125)=12,2.333,1)*VLOOKUP($A125,'Página31'!$A$1:$V$27,COLUMN(),TRUE),2)</f>
        <v>30947.21</v>
      </c>
      <c r="I125" s="48">
        <f t="shared" si="4"/>
        <v>29760.95</v>
      </c>
      <c r="J125" s="48">
        <f>ROUND(IF(MONTH($A125)=12,2.333,1)*VLOOKUP($A125,'Página31'!$A$1:$V$27,COLUMN(),TRUE),2)</f>
        <v>26713.14</v>
      </c>
      <c r="K125" s="48">
        <f>ROUND(IF(MONTH($A125)=12,2.333,1)*VLOOKUP($A125,'Página31'!$A$1:$V$27,COLUMN(),TRUE),2)</f>
        <v>24414.96</v>
      </c>
      <c r="L125" s="48" t="str">
        <f>VLOOKUP($A125,'Página31'!$A$1:$V$27,COLUMN(),TRUE)</f>
        <v/>
      </c>
      <c r="M125" s="48">
        <f>VLOOKUP($A125,'Página31'!$A$1:$V$27,COLUMN(),TRUE)</f>
        <v>23280.8245</v>
      </c>
      <c r="N125" s="48">
        <f>VLOOKUP($A125,'Página31'!$A$1:$V$27,COLUMN(),TRUE)</f>
        <v>29761.03</v>
      </c>
      <c r="O125" s="48" t="str">
        <f>VLOOKUP($A125,'Página31'!$A$1:$V$27,COLUMN(),TRUE)</f>
        <v/>
      </c>
      <c r="P125" s="48">
        <f>VLOOKUP($A125,'Página31'!$A$1:$V$27,COLUMN(),TRUE)</f>
        <v>16605.16</v>
      </c>
      <c r="Q125" s="48" t="str">
        <f>VLOOKUP($A125,'Página31'!$A$1:$V$27,COLUMN(),TRUE)</f>
        <v/>
      </c>
      <c r="R125" s="48">
        <f>VLOOKUP($A125,'Página31'!$A$1:$V$27,COLUMN(),TRUE)</f>
        <v>29760.95</v>
      </c>
      <c r="S125" s="48" t="str">
        <f>VLOOKUP($A125,'Página31'!$A$1:$V$27,COLUMN(),TRUE)</f>
        <v/>
      </c>
      <c r="T125" s="73">
        <f t="shared" si="5"/>
        <v>2026</v>
      </c>
      <c r="U125" s="73">
        <f t="shared" si="6"/>
        <v>4</v>
      </c>
    </row>
    <row r="126">
      <c r="A126" s="34">
        <v>46143.0</v>
      </c>
      <c r="B126" s="48">
        <f t="shared" si="7"/>
        <v>22698.81</v>
      </c>
      <c r="C126" s="48">
        <f>ROUND(IF(MONTH($A126)=12,2.333,1)*VLOOKUP($A126,'Página31'!$A$1:$V$27,COLUMN(),TRUE),2)</f>
        <v>38625.26</v>
      </c>
      <c r="D126" s="48">
        <f t="shared" si="2"/>
        <v>29761.03</v>
      </c>
      <c r="E126" s="48">
        <f>ROUND(IF(MONTH($A126)=12,2.333,1)*VLOOKUP($A126,'Página31'!$A$1:$V$27,COLUMN(),TRUE),2)</f>
        <v>38625.26</v>
      </c>
      <c r="F126" s="48">
        <f>ROUND(IF(MONTH($A126)=12,2.333,1)*VLOOKUP($A126,'Página31'!$A$1:$V$27,COLUMN(),TRUE),2)</f>
        <v>0</v>
      </c>
      <c r="G126" s="48">
        <f t="shared" si="8"/>
        <v>16605.16</v>
      </c>
      <c r="H126" s="48">
        <f>ROUND(IF(MONTH($A126)=12,2.333,1)*VLOOKUP($A126,'Página31'!$A$1:$V$27,COLUMN(),TRUE),2)</f>
        <v>30947.21</v>
      </c>
      <c r="I126" s="48">
        <f t="shared" si="4"/>
        <v>29760.95</v>
      </c>
      <c r="J126" s="48">
        <f>ROUND(IF(MONTH($A126)=12,2.333,1)*VLOOKUP($A126,'Página31'!$A$1:$V$27,COLUMN(),TRUE),2)</f>
        <v>26713.14</v>
      </c>
      <c r="K126" s="48">
        <f>ROUND(IF(MONTH($A126)=12,2.333,1)*VLOOKUP($A126,'Página31'!$A$1:$V$27,COLUMN(),TRUE),2)</f>
        <v>24414.96</v>
      </c>
      <c r="L126" s="48" t="str">
        <f>VLOOKUP($A126,'Página31'!$A$1:$V$27,COLUMN(),TRUE)</f>
        <v/>
      </c>
      <c r="M126" s="48">
        <f>VLOOKUP($A126,'Página31'!$A$1:$V$27,COLUMN(),TRUE)</f>
        <v>23280.8245</v>
      </c>
      <c r="N126" s="48">
        <f>VLOOKUP($A126,'Página31'!$A$1:$V$27,COLUMN(),TRUE)</f>
        <v>29761.03</v>
      </c>
      <c r="O126" s="48" t="str">
        <f>VLOOKUP($A126,'Página31'!$A$1:$V$27,COLUMN(),TRUE)</f>
        <v/>
      </c>
      <c r="P126" s="48">
        <f>VLOOKUP($A126,'Página31'!$A$1:$V$27,COLUMN(),TRUE)</f>
        <v>16605.16</v>
      </c>
      <c r="Q126" s="48" t="str">
        <f>VLOOKUP($A126,'Página31'!$A$1:$V$27,COLUMN(),TRUE)</f>
        <v/>
      </c>
      <c r="R126" s="48">
        <f>VLOOKUP($A126,'Página31'!$A$1:$V$27,COLUMN(),TRUE)</f>
        <v>29760.95</v>
      </c>
      <c r="S126" s="48" t="str">
        <f>VLOOKUP($A126,'Página31'!$A$1:$V$27,COLUMN(),TRUE)</f>
        <v/>
      </c>
      <c r="T126" s="73">
        <f t="shared" si="5"/>
        <v>2026</v>
      </c>
      <c r="U126" s="73">
        <f t="shared" si="6"/>
        <v>5</v>
      </c>
    </row>
    <row r="127">
      <c r="A127" s="34">
        <v>46174.0</v>
      </c>
      <c r="B127" s="48">
        <f t="shared" si="7"/>
        <v>22698.81</v>
      </c>
      <c r="C127" s="48">
        <f>ROUND(IF(MONTH($A127)=12,2.333,1)*VLOOKUP($A127,'Página31'!$A$1:$V$27,COLUMN(),TRUE),2)</f>
        <v>38625.26</v>
      </c>
      <c r="D127" s="48">
        <f t="shared" si="2"/>
        <v>29761.03</v>
      </c>
      <c r="E127" s="48">
        <f>ROUND(IF(MONTH($A127)=12,2.333,1)*VLOOKUP($A127,'Página31'!$A$1:$V$27,COLUMN(),TRUE),2)</f>
        <v>38625.26</v>
      </c>
      <c r="F127" s="48">
        <f>ROUND(IF(MONTH($A127)=12,2.333,1)*VLOOKUP($A127,'Página31'!$A$1:$V$27,COLUMN(),TRUE),2)</f>
        <v>0</v>
      </c>
      <c r="G127" s="48">
        <f t="shared" si="8"/>
        <v>16605.16</v>
      </c>
      <c r="H127" s="48">
        <f>ROUND(IF(MONTH($A127)=12,2.333,1)*VLOOKUP($A127,'Página31'!$A$1:$V$27,COLUMN(),TRUE),2)</f>
        <v>30947.21</v>
      </c>
      <c r="I127" s="48">
        <f t="shared" si="4"/>
        <v>29760.95</v>
      </c>
      <c r="J127" s="48">
        <f>ROUND(IF(MONTH($A127)=12,2.333,1)*VLOOKUP($A127,'Página31'!$A$1:$V$27,COLUMN(),TRUE),2)</f>
        <v>26713.14</v>
      </c>
      <c r="K127" s="48">
        <f>ROUND(IF(MONTH($A127)=12,2.333,1)*VLOOKUP($A127,'Página31'!$A$1:$V$27,COLUMN(),TRUE),2)</f>
        <v>24414.96</v>
      </c>
      <c r="L127" s="48" t="str">
        <f>VLOOKUP($A127,'Página31'!$A$1:$V$27,COLUMN(),TRUE)</f>
        <v/>
      </c>
      <c r="M127" s="48">
        <f>VLOOKUP($A127,'Página31'!$A$1:$V$27,COLUMN(),TRUE)</f>
        <v>23280.8245</v>
      </c>
      <c r="N127" s="48">
        <f>VLOOKUP($A127,'Página31'!$A$1:$V$27,COLUMN(),TRUE)</f>
        <v>29761.03</v>
      </c>
      <c r="O127" s="48" t="str">
        <f>VLOOKUP($A127,'Página31'!$A$1:$V$27,COLUMN(),TRUE)</f>
        <v/>
      </c>
      <c r="P127" s="48">
        <f>VLOOKUP($A127,'Página31'!$A$1:$V$27,COLUMN(),TRUE)</f>
        <v>16605.16</v>
      </c>
      <c r="Q127" s="48" t="str">
        <f>VLOOKUP($A127,'Página31'!$A$1:$V$27,COLUMN(),TRUE)</f>
        <v/>
      </c>
      <c r="R127" s="48">
        <f>VLOOKUP($A127,'Página31'!$A$1:$V$27,COLUMN(),TRUE)</f>
        <v>29760.95</v>
      </c>
      <c r="S127" s="48" t="str">
        <f>VLOOKUP($A127,'Página31'!$A$1:$V$27,COLUMN(),TRUE)</f>
        <v/>
      </c>
      <c r="T127" s="73">
        <f t="shared" si="5"/>
        <v>2026</v>
      </c>
      <c r="U127" s="73">
        <f t="shared" si="6"/>
        <v>6</v>
      </c>
    </row>
    <row r="128">
      <c r="A128" s="34">
        <v>46204.0</v>
      </c>
      <c r="B128" s="48">
        <f t="shared" si="7"/>
        <v>22698.81</v>
      </c>
      <c r="C128" s="48">
        <f>ROUND(IF(MONTH($A128)=12,2.333,1)*VLOOKUP($A128,'Página31'!$A$1:$V$27,COLUMN(),TRUE),2)</f>
        <v>38625.26</v>
      </c>
      <c r="D128" s="48">
        <f t="shared" si="2"/>
        <v>29761.03</v>
      </c>
      <c r="E128" s="48">
        <f>ROUND(IF(MONTH($A128)=12,2.333,1)*VLOOKUP($A128,'Página31'!$A$1:$V$27,COLUMN(),TRUE),2)</f>
        <v>38625.26</v>
      </c>
      <c r="F128" s="48">
        <f>ROUND(IF(MONTH($A128)=12,2.333,1)*VLOOKUP($A128,'Página31'!$A$1:$V$27,COLUMN(),TRUE),2)</f>
        <v>0</v>
      </c>
      <c r="G128" s="48">
        <f t="shared" si="8"/>
        <v>16605.16</v>
      </c>
      <c r="H128" s="48">
        <f>ROUND(IF(MONTH($A128)=12,2.333,1)*VLOOKUP($A128,'Página31'!$A$1:$V$27,COLUMN(),TRUE),2)</f>
        <v>30947.21</v>
      </c>
      <c r="I128" s="48">
        <f t="shared" si="4"/>
        <v>29760.95</v>
      </c>
      <c r="J128" s="48">
        <f>ROUND(IF(MONTH($A128)=12,2.333,1)*VLOOKUP($A128,'Página31'!$A$1:$V$27,COLUMN(),TRUE),2)</f>
        <v>26713.14</v>
      </c>
      <c r="K128" s="48">
        <f>ROUND(IF(MONTH($A128)=12,2.333,1)*VLOOKUP($A128,'Página31'!$A$1:$V$27,COLUMN(),TRUE),2)</f>
        <v>24414.96</v>
      </c>
      <c r="L128" s="48" t="str">
        <f>VLOOKUP($A128,'Página31'!$A$1:$V$27,COLUMN(),TRUE)</f>
        <v/>
      </c>
      <c r="M128" s="48">
        <f>VLOOKUP($A128,'Página31'!$A$1:$V$27,COLUMN(),TRUE)</f>
        <v>23280.8245</v>
      </c>
      <c r="N128" s="48">
        <f>VLOOKUP($A128,'Página31'!$A$1:$V$27,COLUMN(),TRUE)</f>
        <v>29761.03</v>
      </c>
      <c r="O128" s="48" t="str">
        <f>VLOOKUP($A128,'Página31'!$A$1:$V$27,COLUMN(),TRUE)</f>
        <v/>
      </c>
      <c r="P128" s="48">
        <f>VLOOKUP($A128,'Página31'!$A$1:$V$27,COLUMN(),TRUE)</f>
        <v>16605.16</v>
      </c>
      <c r="Q128" s="48" t="str">
        <f>VLOOKUP($A128,'Página31'!$A$1:$V$27,COLUMN(),TRUE)</f>
        <v/>
      </c>
      <c r="R128" s="48">
        <f>VLOOKUP($A128,'Página31'!$A$1:$V$27,COLUMN(),TRUE)</f>
        <v>29760.95</v>
      </c>
      <c r="S128" s="48" t="str">
        <f>VLOOKUP($A128,'Página31'!$A$1:$V$27,COLUMN(),TRUE)</f>
        <v/>
      </c>
      <c r="T128" s="73">
        <f t="shared" si="5"/>
        <v>2026</v>
      </c>
      <c r="U128" s="73">
        <f t="shared" si="6"/>
        <v>7</v>
      </c>
    </row>
    <row r="129">
      <c r="A129" s="34">
        <v>46235.0</v>
      </c>
      <c r="B129" s="48">
        <f t="shared" si="7"/>
        <v>22698.81</v>
      </c>
      <c r="C129" s="48">
        <f>ROUND(IF(MONTH($A129)=12,2.333,1)*VLOOKUP($A129,'Página31'!$A$1:$V$27,COLUMN(),TRUE),2)</f>
        <v>38625.26</v>
      </c>
      <c r="D129" s="48">
        <f t="shared" si="2"/>
        <v>29761.03</v>
      </c>
      <c r="E129" s="48">
        <f>ROUND(IF(MONTH($A129)=12,2.333,1)*VLOOKUP($A129,'Página31'!$A$1:$V$27,COLUMN(),TRUE),2)</f>
        <v>38625.26</v>
      </c>
      <c r="F129" s="48">
        <f>ROUND(IF(MONTH($A129)=12,2.333,1)*VLOOKUP($A129,'Página31'!$A$1:$V$27,COLUMN(),TRUE),2)</f>
        <v>0</v>
      </c>
      <c r="G129" s="48">
        <f t="shared" si="8"/>
        <v>16605.16</v>
      </c>
      <c r="H129" s="48">
        <f>ROUND(IF(MONTH($A129)=12,2.333,1)*VLOOKUP($A129,'Página31'!$A$1:$V$27,COLUMN(),TRUE),2)</f>
        <v>30947.21</v>
      </c>
      <c r="I129" s="48">
        <f t="shared" si="4"/>
        <v>29760.95</v>
      </c>
      <c r="J129" s="48">
        <f>ROUND(IF(MONTH($A129)=12,2.333,1)*VLOOKUP($A129,'Página31'!$A$1:$V$27,COLUMN(),TRUE),2)</f>
        <v>26713.14</v>
      </c>
      <c r="K129" s="48">
        <f>ROUND(IF(MONTH($A129)=12,2.333,1)*VLOOKUP($A129,'Página31'!$A$1:$V$27,COLUMN(),TRUE),2)</f>
        <v>24414.96</v>
      </c>
      <c r="L129" s="48" t="str">
        <f>VLOOKUP($A129,'Página31'!$A$1:$V$27,COLUMN(),TRUE)</f>
        <v/>
      </c>
      <c r="M129" s="48">
        <f>VLOOKUP($A129,'Página31'!$A$1:$V$27,COLUMN(),TRUE)</f>
        <v>23280.8245</v>
      </c>
      <c r="N129" s="48">
        <f>VLOOKUP($A129,'Página31'!$A$1:$V$27,COLUMN(),TRUE)</f>
        <v>29761.03</v>
      </c>
      <c r="O129" s="48" t="str">
        <f>VLOOKUP($A129,'Página31'!$A$1:$V$27,COLUMN(),TRUE)</f>
        <v/>
      </c>
      <c r="P129" s="48">
        <f>VLOOKUP($A129,'Página31'!$A$1:$V$27,COLUMN(),TRUE)</f>
        <v>16605.16</v>
      </c>
      <c r="Q129" s="48" t="str">
        <f>VLOOKUP($A129,'Página31'!$A$1:$V$27,COLUMN(),TRUE)</f>
        <v/>
      </c>
      <c r="R129" s="48">
        <f>VLOOKUP($A129,'Página31'!$A$1:$V$27,COLUMN(),TRUE)</f>
        <v>29760.95</v>
      </c>
      <c r="S129" s="48" t="str">
        <f>VLOOKUP($A129,'Página31'!$A$1:$V$27,COLUMN(),TRUE)</f>
        <v/>
      </c>
      <c r="T129" s="73">
        <f t="shared" si="5"/>
        <v>2026</v>
      </c>
      <c r="U129" s="73">
        <f t="shared" si="6"/>
        <v>8</v>
      </c>
    </row>
    <row r="130">
      <c r="A130" s="34">
        <v>46266.0</v>
      </c>
      <c r="B130" s="48">
        <f t="shared" si="7"/>
        <v>22698.81</v>
      </c>
      <c r="C130" s="48">
        <f>ROUND(IF(MONTH($A130)=12,2.333,1)*VLOOKUP($A130,'Página31'!$A$1:$V$27,COLUMN(),TRUE),2)</f>
        <v>38625.26</v>
      </c>
      <c r="D130" s="48">
        <f t="shared" si="2"/>
        <v>29761.03</v>
      </c>
      <c r="E130" s="48">
        <f>ROUND(IF(MONTH($A130)=12,2.333,1)*VLOOKUP($A130,'Página31'!$A$1:$V$27,COLUMN(),TRUE),2)</f>
        <v>38625.26</v>
      </c>
      <c r="F130" s="48">
        <f>ROUND(IF(MONTH($A130)=12,2.333,1)*VLOOKUP($A130,'Página31'!$A$1:$V$27,COLUMN(),TRUE),2)</f>
        <v>0</v>
      </c>
      <c r="G130" s="48">
        <f t="shared" si="8"/>
        <v>16605.16</v>
      </c>
      <c r="H130" s="48">
        <f>ROUND(IF(MONTH($A130)=12,2.333,1)*VLOOKUP($A130,'Página31'!$A$1:$V$27,COLUMN(),TRUE),2)</f>
        <v>30947.21</v>
      </c>
      <c r="I130" s="48">
        <f t="shared" si="4"/>
        <v>29760.95</v>
      </c>
      <c r="J130" s="48">
        <f>ROUND(IF(MONTH($A130)=12,2.333,1)*VLOOKUP($A130,'Página31'!$A$1:$V$27,COLUMN(),TRUE),2)</f>
        <v>26713.14</v>
      </c>
      <c r="K130" s="48">
        <f>ROUND(IF(MONTH($A130)=12,2.333,1)*VLOOKUP($A130,'Página31'!$A$1:$V$27,COLUMN(),TRUE),2)</f>
        <v>24414.96</v>
      </c>
      <c r="L130" s="48" t="str">
        <f>VLOOKUP($A130,'Página31'!$A$1:$V$27,COLUMN(),TRUE)</f>
        <v/>
      </c>
      <c r="M130" s="48">
        <f>VLOOKUP($A130,'Página31'!$A$1:$V$27,COLUMN(),TRUE)</f>
        <v>23280.8245</v>
      </c>
      <c r="N130" s="48">
        <f>VLOOKUP($A130,'Página31'!$A$1:$V$27,COLUMN(),TRUE)</f>
        <v>29761.03</v>
      </c>
      <c r="O130" s="48" t="str">
        <f>VLOOKUP($A130,'Página31'!$A$1:$V$27,COLUMN(),TRUE)</f>
        <v/>
      </c>
      <c r="P130" s="48">
        <f>VLOOKUP($A130,'Página31'!$A$1:$V$27,COLUMN(),TRUE)</f>
        <v>16605.16</v>
      </c>
      <c r="Q130" s="48" t="str">
        <f>VLOOKUP($A130,'Página31'!$A$1:$V$27,COLUMN(),TRUE)</f>
        <v/>
      </c>
      <c r="R130" s="48">
        <f>VLOOKUP($A130,'Página31'!$A$1:$V$27,COLUMN(),TRUE)</f>
        <v>29760.95</v>
      </c>
      <c r="S130" s="48" t="str">
        <f>VLOOKUP($A130,'Página31'!$A$1:$V$27,COLUMN(),TRUE)</f>
        <v/>
      </c>
      <c r="T130" s="73">
        <f t="shared" si="5"/>
        <v>2026</v>
      </c>
      <c r="U130" s="73">
        <f t="shared" si="6"/>
        <v>9</v>
      </c>
    </row>
    <row r="131">
      <c r="A131" s="34">
        <v>46296.0</v>
      </c>
      <c r="B131" s="48">
        <f t="shared" si="7"/>
        <v>22698.81</v>
      </c>
      <c r="C131" s="48">
        <f>ROUND(IF(MONTH($A131)=12,2.333,1)*VLOOKUP($A131,'Página31'!$A$1:$V$27,COLUMN(),TRUE),2)</f>
        <v>38625.26</v>
      </c>
      <c r="D131" s="48">
        <f t="shared" si="2"/>
        <v>29761.03</v>
      </c>
      <c r="E131" s="48">
        <f>ROUND(IF(MONTH($A131)=12,2.333,1)*VLOOKUP($A131,'Página31'!$A$1:$V$27,COLUMN(),TRUE),2)</f>
        <v>38625.26</v>
      </c>
      <c r="F131" s="48">
        <f>ROUND(IF(MONTH($A131)=12,2.333,1)*VLOOKUP($A131,'Página31'!$A$1:$V$27,COLUMN(),TRUE),2)</f>
        <v>0</v>
      </c>
      <c r="G131" s="48">
        <f t="shared" si="8"/>
        <v>16605.16</v>
      </c>
      <c r="H131" s="48">
        <f>ROUND(IF(MONTH($A131)=12,2.333,1)*VLOOKUP($A131,'Página31'!$A$1:$V$27,COLUMN(),TRUE),2)</f>
        <v>30947.21</v>
      </c>
      <c r="I131" s="48">
        <f t="shared" si="4"/>
        <v>29760.95</v>
      </c>
      <c r="J131" s="48">
        <f>ROUND(IF(MONTH($A131)=12,2.333,1)*VLOOKUP($A131,'Página31'!$A$1:$V$27,COLUMN(),TRUE),2)</f>
        <v>26713.14</v>
      </c>
      <c r="K131" s="48">
        <f>ROUND(IF(MONTH($A131)=12,2.333,1)*VLOOKUP($A131,'Página31'!$A$1:$V$27,COLUMN(),TRUE),2)</f>
        <v>24414.96</v>
      </c>
      <c r="L131" s="48" t="str">
        <f>VLOOKUP($A131,'Página31'!$A$1:$V$27,COLUMN(),TRUE)</f>
        <v/>
      </c>
      <c r="M131" s="48">
        <f>VLOOKUP($A131,'Página31'!$A$1:$V$27,COLUMN(),TRUE)</f>
        <v>23280.8245</v>
      </c>
      <c r="N131" s="48">
        <f>VLOOKUP($A131,'Página31'!$A$1:$V$27,COLUMN(),TRUE)</f>
        <v>29761.03</v>
      </c>
      <c r="O131" s="48" t="str">
        <f>VLOOKUP($A131,'Página31'!$A$1:$V$27,COLUMN(),TRUE)</f>
        <v/>
      </c>
      <c r="P131" s="48">
        <f>VLOOKUP($A131,'Página31'!$A$1:$V$27,COLUMN(),TRUE)</f>
        <v>16605.16</v>
      </c>
      <c r="Q131" s="48" t="str">
        <f>VLOOKUP($A131,'Página31'!$A$1:$V$27,COLUMN(),TRUE)</f>
        <v/>
      </c>
      <c r="R131" s="48">
        <f>VLOOKUP($A131,'Página31'!$A$1:$V$27,COLUMN(),TRUE)</f>
        <v>29760.95</v>
      </c>
      <c r="S131" s="48" t="str">
        <f>VLOOKUP($A131,'Página31'!$A$1:$V$27,COLUMN(),TRUE)</f>
        <v/>
      </c>
      <c r="T131" s="73">
        <f t="shared" si="5"/>
        <v>2026</v>
      </c>
      <c r="U131" s="73">
        <f t="shared" si="6"/>
        <v>10</v>
      </c>
    </row>
    <row r="132">
      <c r="A132" s="34">
        <v>46327.0</v>
      </c>
      <c r="B132" s="48">
        <f t="shared" si="7"/>
        <v>22698.81</v>
      </c>
      <c r="C132" s="48">
        <f>ROUND(IF(MONTH($A132)=12,2.333,1)*VLOOKUP($A132,'Página31'!$A$1:$V$27,COLUMN(),TRUE),2)</f>
        <v>38625.26</v>
      </c>
      <c r="D132" s="48">
        <f t="shared" si="2"/>
        <v>29761.03</v>
      </c>
      <c r="E132" s="48">
        <f>ROUND(IF(MONTH($A132)=12,2.333,1)*VLOOKUP($A132,'Página31'!$A$1:$V$27,COLUMN(),TRUE),2)</f>
        <v>38625.26</v>
      </c>
      <c r="F132" s="48">
        <f>ROUND(IF(MONTH($A132)=12,2.333,1)*VLOOKUP($A132,'Página31'!$A$1:$V$27,COLUMN(),TRUE),2)</f>
        <v>0</v>
      </c>
      <c r="G132" s="48">
        <f t="shared" si="8"/>
        <v>16605.16</v>
      </c>
      <c r="H132" s="48">
        <f>ROUND(IF(MONTH($A132)=12,2.333,1)*VLOOKUP($A132,'Página31'!$A$1:$V$27,COLUMN(),TRUE),2)</f>
        <v>30947.21</v>
      </c>
      <c r="I132" s="48">
        <f t="shared" si="4"/>
        <v>29760.95</v>
      </c>
      <c r="J132" s="48">
        <f>ROUND(IF(MONTH($A132)=12,2.333,1)*VLOOKUP($A132,'Página31'!$A$1:$V$27,COLUMN(),TRUE),2)</f>
        <v>26713.14</v>
      </c>
      <c r="K132" s="48">
        <f>ROUND(IF(MONTH($A132)=12,2.333,1)*VLOOKUP($A132,'Página31'!$A$1:$V$27,COLUMN(),TRUE),2)</f>
        <v>24414.96</v>
      </c>
      <c r="L132" s="48" t="str">
        <f>VLOOKUP($A132,'Página31'!$A$1:$V$27,COLUMN(),TRUE)</f>
        <v/>
      </c>
      <c r="M132" s="48">
        <f>VLOOKUP($A132,'Página31'!$A$1:$V$27,COLUMN(),TRUE)</f>
        <v>23280.8245</v>
      </c>
      <c r="N132" s="48">
        <f>VLOOKUP($A132,'Página31'!$A$1:$V$27,COLUMN(),TRUE)</f>
        <v>29761.03</v>
      </c>
      <c r="O132" s="48" t="str">
        <f>VLOOKUP($A132,'Página31'!$A$1:$V$27,COLUMN(),TRUE)</f>
        <v/>
      </c>
      <c r="P132" s="48">
        <f>VLOOKUP($A132,'Página31'!$A$1:$V$27,COLUMN(),TRUE)</f>
        <v>16605.16</v>
      </c>
      <c r="Q132" s="48" t="str">
        <f>VLOOKUP($A132,'Página31'!$A$1:$V$27,COLUMN(),TRUE)</f>
        <v/>
      </c>
      <c r="R132" s="48">
        <f>VLOOKUP($A132,'Página31'!$A$1:$V$27,COLUMN(),TRUE)</f>
        <v>29760.95</v>
      </c>
      <c r="S132" s="48" t="str">
        <f>VLOOKUP($A132,'Página31'!$A$1:$V$27,COLUMN(),TRUE)</f>
        <v/>
      </c>
      <c r="T132" s="73">
        <f t="shared" si="5"/>
        <v>2026</v>
      </c>
      <c r="U132" s="73">
        <f t="shared" si="6"/>
        <v>11</v>
      </c>
    </row>
    <row r="133">
      <c r="A133" s="34">
        <v>46357.0</v>
      </c>
      <c r="B133" s="48">
        <f t="shared" si="7"/>
        <v>52956.32</v>
      </c>
      <c r="C133" s="48">
        <f>ROUND(IF(MONTH($A133)=12,2.333,1)*VLOOKUP($A133,'Página31'!$A$1:$V$27,COLUMN(),TRUE),2)</f>
        <v>90112.74</v>
      </c>
      <c r="D133" s="48">
        <f t="shared" si="2"/>
        <v>69432.48</v>
      </c>
      <c r="E133" s="48">
        <f>ROUND(IF(MONTH($A133)=12,2.333,1)*VLOOKUP($A133,'Página31'!$A$1:$V$27,COLUMN(),TRUE),2)</f>
        <v>90112.74</v>
      </c>
      <c r="F133" s="48">
        <f>ROUND(IF(MONTH($A133)=12,2.333,1)*VLOOKUP($A133,'Página31'!$A$1:$V$27,COLUMN(),TRUE),2)</f>
        <v>0</v>
      </c>
      <c r="G133" s="48">
        <f t="shared" si="8"/>
        <v>38739.84</v>
      </c>
      <c r="H133" s="48">
        <f>ROUND(IF(MONTH($A133)=12,2.333,1)*VLOOKUP($A133,'Página31'!$A$1:$V$27,COLUMN(),TRUE),2)</f>
        <v>72199.85</v>
      </c>
      <c r="I133" s="48">
        <f t="shared" si="4"/>
        <v>69432.3</v>
      </c>
      <c r="J133" s="48">
        <f>ROUND(IF(MONTH($A133)=12,2.333,1)*VLOOKUP($A133,'Página31'!$A$1:$V$27,COLUMN(),TRUE),2)</f>
        <v>62321.76</v>
      </c>
      <c r="K133" s="48">
        <f>ROUND(IF(MONTH($A133)=12,2.333,1)*VLOOKUP($A133,'Página31'!$A$1:$V$27,COLUMN(),TRUE),2)</f>
        <v>56960.1</v>
      </c>
      <c r="L133" s="48" t="str">
        <f>VLOOKUP($A133,'Página31'!$A$1:$V$27,COLUMN(),TRUE)</f>
        <v/>
      </c>
      <c r="M133" s="48">
        <f>VLOOKUP($A133,'Página31'!$A$1:$V$27,COLUMN(),TRUE)</f>
        <v>23280.8245</v>
      </c>
      <c r="N133" s="48">
        <f>VLOOKUP($A133,'Página31'!$A$1:$V$27,COLUMN(),TRUE)</f>
        <v>29761.03</v>
      </c>
      <c r="O133" s="48" t="str">
        <f>VLOOKUP($A133,'Página31'!$A$1:$V$27,COLUMN(),TRUE)</f>
        <v/>
      </c>
      <c r="P133" s="48">
        <f>VLOOKUP($A133,'Página31'!$A$1:$V$27,COLUMN(),TRUE)</f>
        <v>16605.16</v>
      </c>
      <c r="Q133" s="48" t="str">
        <f>VLOOKUP($A133,'Página31'!$A$1:$V$27,COLUMN(),TRUE)</f>
        <v/>
      </c>
      <c r="R133" s="48">
        <f>VLOOKUP($A133,'Página31'!$A$1:$V$27,COLUMN(),TRUE)</f>
        <v>29760.95</v>
      </c>
      <c r="S133" s="48" t="str">
        <f>VLOOKUP($A133,'Página31'!$A$1:$V$27,COLUMN(),TRUE)</f>
        <v/>
      </c>
      <c r="T133" s="73">
        <f t="shared" si="5"/>
        <v>2026</v>
      </c>
      <c r="U133" s="73">
        <f t="shared" si="6"/>
        <v>12</v>
      </c>
    </row>
    <row r="134">
      <c r="A134" s="34">
        <v>46388.0</v>
      </c>
      <c r="B134" s="48">
        <f t="shared" si="7"/>
        <v>22698.81</v>
      </c>
      <c r="C134" s="48">
        <f>ROUND(IF(MONTH($A134)=12,2.333,1)*VLOOKUP($A134,'Página31'!$A$1:$V$27,COLUMN(),TRUE),2)</f>
        <v>38625.26</v>
      </c>
      <c r="D134" s="48">
        <f t="shared" si="2"/>
        <v>29761.03</v>
      </c>
      <c r="E134" s="48">
        <f>ROUND(IF(MONTH($A134)=12,2.333,1)*VLOOKUP($A134,'Página31'!$A$1:$V$27,COLUMN(),TRUE),2)</f>
        <v>38625.26</v>
      </c>
      <c r="F134" s="48">
        <f>ROUND(IF(MONTH($A134)=12,2.333,1)*VLOOKUP($A134,'Página31'!$A$1:$V$27,COLUMN(),TRUE),2)</f>
        <v>0</v>
      </c>
      <c r="G134" s="48">
        <f t="shared" si="8"/>
        <v>16605.16</v>
      </c>
      <c r="H134" s="48">
        <f>ROUND(IF(MONTH($A134)=12,2.333,1)*VLOOKUP($A134,'Página31'!$A$1:$V$27,COLUMN(),TRUE),2)</f>
        <v>30947.21</v>
      </c>
      <c r="I134" s="48">
        <f t="shared" si="4"/>
        <v>29760.95</v>
      </c>
      <c r="J134" s="48">
        <f>ROUND(IF(MONTH($A134)=12,2.333,1)*VLOOKUP($A134,'Página31'!$A$1:$V$27,COLUMN(),TRUE),2)</f>
        <v>26713.14</v>
      </c>
      <c r="K134" s="48">
        <f>ROUND(IF(MONTH($A134)=12,2.333,1)*VLOOKUP($A134,'Página31'!$A$1:$V$27,COLUMN(),TRUE),2)</f>
        <v>24414.96</v>
      </c>
      <c r="L134" s="48" t="str">
        <f>VLOOKUP($A134,'Página31'!$A$1:$V$27,COLUMN(),TRUE)</f>
        <v/>
      </c>
      <c r="M134" s="48">
        <f>VLOOKUP($A134,'Página31'!$A$1:$V$27,COLUMN(),TRUE)</f>
        <v>23280.8245</v>
      </c>
      <c r="N134" s="48">
        <f>VLOOKUP($A134,'Página31'!$A$1:$V$27,COLUMN(),TRUE)</f>
        <v>29761.03</v>
      </c>
      <c r="O134" s="48" t="str">
        <f>VLOOKUP($A134,'Página31'!$A$1:$V$27,COLUMN(),TRUE)</f>
        <v/>
      </c>
      <c r="P134" s="48">
        <f>VLOOKUP($A134,'Página31'!$A$1:$V$27,COLUMN(),TRUE)</f>
        <v>16605.16</v>
      </c>
      <c r="Q134" s="48" t="str">
        <f>VLOOKUP($A134,'Página31'!$A$1:$V$27,COLUMN(),TRUE)</f>
        <v/>
      </c>
      <c r="R134" s="48">
        <f>VLOOKUP($A134,'Página31'!$A$1:$V$27,COLUMN(),TRUE)</f>
        <v>29760.95</v>
      </c>
      <c r="S134" s="48" t="str">
        <f>VLOOKUP($A134,'Página31'!$A$1:$V$27,COLUMN(),TRUE)</f>
        <v/>
      </c>
      <c r="T134" s="73">
        <f t="shared" si="5"/>
        <v>2027</v>
      </c>
      <c r="U134" s="73">
        <f t="shared" si="6"/>
        <v>1</v>
      </c>
    </row>
    <row r="135">
      <c r="A135" s="34">
        <v>46419.0</v>
      </c>
      <c r="B135" s="48">
        <f t="shared" si="7"/>
        <v>22698.81</v>
      </c>
      <c r="C135" s="48">
        <f>ROUND(IF(MONTH($A135)=12,2.333,1)*VLOOKUP($A135,'Página31'!$A$1:$V$27,COLUMN(),TRUE),2)</f>
        <v>38625.26</v>
      </c>
      <c r="D135" s="48">
        <f t="shared" si="2"/>
        <v>29761.03</v>
      </c>
      <c r="E135" s="48">
        <f>ROUND(IF(MONTH($A135)=12,2.333,1)*VLOOKUP($A135,'Página31'!$A$1:$V$27,COLUMN(),TRUE),2)</f>
        <v>38625.26</v>
      </c>
      <c r="F135" s="48">
        <f>ROUND(IF(MONTH($A135)=12,2.333,1)*VLOOKUP($A135,'Página31'!$A$1:$V$27,COLUMN(),TRUE),2)</f>
        <v>0</v>
      </c>
      <c r="G135" s="48">
        <f t="shared" si="8"/>
        <v>16605.16</v>
      </c>
      <c r="H135" s="48">
        <f>ROUND(IF(MONTH($A135)=12,2.333,1)*VLOOKUP($A135,'Página31'!$A$1:$V$27,COLUMN(),TRUE),2)</f>
        <v>30947.21</v>
      </c>
      <c r="I135" s="48">
        <f t="shared" si="4"/>
        <v>29760.95</v>
      </c>
      <c r="J135" s="48">
        <f>ROUND(IF(MONTH($A135)=12,2.333,1)*VLOOKUP($A135,'Página31'!$A$1:$V$27,COLUMN(),TRUE),2)</f>
        <v>26975.77</v>
      </c>
      <c r="K135" s="48">
        <f>ROUND(IF(MONTH($A135)=12,2.333,1)*VLOOKUP($A135,'Página31'!$A$1:$V$27,COLUMN(),TRUE),2)</f>
        <v>24414.96</v>
      </c>
      <c r="L135" s="48" t="str">
        <f>VLOOKUP($A135,'Página31'!$A$1:$V$27,COLUMN(),TRUE)</f>
        <v/>
      </c>
      <c r="M135" s="48">
        <f>VLOOKUP($A135,'Página31'!$A$1:$V$27,COLUMN(),TRUE)</f>
        <v>23280.8245</v>
      </c>
      <c r="N135" s="48">
        <f>VLOOKUP($A135,'Página31'!$A$1:$V$27,COLUMN(),TRUE)</f>
        <v>29761.03</v>
      </c>
      <c r="O135" s="48" t="str">
        <f>VLOOKUP($A135,'Página31'!$A$1:$V$27,COLUMN(),TRUE)</f>
        <v/>
      </c>
      <c r="P135" s="48">
        <f>VLOOKUP($A135,'Página31'!$A$1:$V$27,COLUMN(),TRUE)</f>
        <v>16605.16</v>
      </c>
      <c r="Q135" s="48" t="str">
        <f>VLOOKUP($A135,'Página31'!$A$1:$V$27,COLUMN(),TRUE)</f>
        <v/>
      </c>
      <c r="R135" s="48">
        <f>VLOOKUP($A135,'Página31'!$A$1:$V$27,COLUMN(),TRUE)</f>
        <v>29760.95</v>
      </c>
      <c r="S135" s="48" t="str">
        <f>VLOOKUP($A135,'Página31'!$A$1:$V$27,COLUMN(),TRUE)</f>
        <v/>
      </c>
      <c r="T135" s="73">
        <f t="shared" si="5"/>
        <v>2027</v>
      </c>
      <c r="U135" s="73">
        <f t="shared" si="6"/>
        <v>2</v>
      </c>
    </row>
    <row r="136">
      <c r="A136" s="34">
        <v>46447.0</v>
      </c>
      <c r="B136" s="48">
        <f t="shared" si="7"/>
        <v>22698.81</v>
      </c>
      <c r="C136" s="48">
        <f>ROUND(IF(MONTH($A136)=12,2.333,1)*VLOOKUP($A136,'Página31'!$A$1:$V$27,COLUMN(),TRUE),2)</f>
        <v>38625.26</v>
      </c>
      <c r="D136" s="48">
        <f t="shared" si="2"/>
        <v>29761.03</v>
      </c>
      <c r="E136" s="48">
        <f>ROUND(IF(MONTH($A136)=12,2.333,1)*VLOOKUP($A136,'Página31'!$A$1:$V$27,COLUMN(),TRUE),2)</f>
        <v>38625.26</v>
      </c>
      <c r="F136" s="48">
        <f>ROUND(IF(MONTH($A136)=12,2.333,1)*VLOOKUP($A136,'Página31'!$A$1:$V$27,COLUMN(),TRUE),2)</f>
        <v>0</v>
      </c>
      <c r="G136" s="48">
        <f t="shared" si="8"/>
        <v>16605.16</v>
      </c>
      <c r="H136" s="48">
        <f>ROUND(IF(MONTH($A136)=12,2.333,1)*VLOOKUP($A136,'Página31'!$A$1:$V$27,COLUMN(),TRUE),2)</f>
        <v>30947.21</v>
      </c>
      <c r="I136" s="48">
        <f t="shared" si="4"/>
        <v>29760.95</v>
      </c>
      <c r="J136" s="48">
        <f>ROUND(IF(MONTH($A136)=12,2.333,1)*VLOOKUP($A136,'Página31'!$A$1:$V$27,COLUMN(),TRUE),2)</f>
        <v>26975.77</v>
      </c>
      <c r="K136" s="48">
        <f>ROUND(IF(MONTH($A136)=12,2.333,1)*VLOOKUP($A136,'Página31'!$A$1:$V$27,COLUMN(),TRUE),2)</f>
        <v>24414.96</v>
      </c>
      <c r="L136" s="48" t="str">
        <f>VLOOKUP($A136,'Página31'!$A$1:$V$27,COLUMN(),TRUE)</f>
        <v/>
      </c>
      <c r="M136" s="48">
        <f>VLOOKUP($A136,'Página31'!$A$1:$V$27,COLUMN(),TRUE)</f>
        <v>23280.8245</v>
      </c>
      <c r="N136" s="48">
        <f>VLOOKUP($A136,'Página31'!$A$1:$V$27,COLUMN(),TRUE)</f>
        <v>29761.03</v>
      </c>
      <c r="O136" s="48" t="str">
        <f>VLOOKUP($A136,'Página31'!$A$1:$V$27,COLUMN(),TRUE)</f>
        <v/>
      </c>
      <c r="P136" s="48">
        <f>VLOOKUP($A136,'Página31'!$A$1:$V$27,COLUMN(),TRUE)</f>
        <v>16605.16</v>
      </c>
      <c r="Q136" s="48" t="str">
        <f>VLOOKUP($A136,'Página31'!$A$1:$V$27,COLUMN(),TRUE)</f>
        <v/>
      </c>
      <c r="R136" s="48">
        <f>VLOOKUP($A136,'Página31'!$A$1:$V$27,COLUMN(),TRUE)</f>
        <v>29760.95</v>
      </c>
      <c r="S136" s="48" t="str">
        <f>VLOOKUP($A136,'Página31'!$A$1:$V$27,COLUMN(),TRUE)</f>
        <v/>
      </c>
      <c r="T136" s="73">
        <f t="shared" si="5"/>
        <v>2027</v>
      </c>
      <c r="U136" s="73">
        <f t="shared" si="6"/>
        <v>3</v>
      </c>
    </row>
    <row r="137">
      <c r="A137" s="34">
        <v>46478.0</v>
      </c>
      <c r="B137" s="48">
        <f t="shared" si="7"/>
        <v>22698.81</v>
      </c>
      <c r="C137" s="48">
        <f>ROUND(IF(MONTH($A137)=12,2.333,1)*VLOOKUP($A137,'Página31'!$A$1:$V$27,COLUMN(),TRUE),2)</f>
        <v>38625.26</v>
      </c>
      <c r="D137" s="48">
        <f t="shared" si="2"/>
        <v>29761.03</v>
      </c>
      <c r="E137" s="48">
        <f>ROUND(IF(MONTH($A137)=12,2.333,1)*VLOOKUP($A137,'Página31'!$A$1:$V$27,COLUMN(),TRUE),2)</f>
        <v>38625.26</v>
      </c>
      <c r="F137" s="48">
        <f>ROUND(IF(MONTH($A137)=12,2.333,1)*VLOOKUP($A137,'Página31'!$A$1:$V$27,COLUMN(),TRUE),2)</f>
        <v>0</v>
      </c>
      <c r="G137" s="48">
        <f t="shared" si="8"/>
        <v>16605.16</v>
      </c>
      <c r="H137" s="48">
        <f>ROUND(IF(MONTH($A137)=12,2.333,1)*VLOOKUP($A137,'Página31'!$A$1:$V$27,COLUMN(),TRUE),2)</f>
        <v>30947.21</v>
      </c>
      <c r="I137" s="48">
        <f t="shared" si="4"/>
        <v>29760.95</v>
      </c>
      <c r="J137" s="48">
        <f>ROUND(IF(MONTH($A137)=12,2.333,1)*VLOOKUP($A137,'Página31'!$A$1:$V$27,COLUMN(),TRUE),2)</f>
        <v>26975.77</v>
      </c>
      <c r="K137" s="48">
        <f>ROUND(IF(MONTH($A137)=12,2.333,1)*VLOOKUP($A137,'Página31'!$A$1:$V$27,COLUMN(),TRUE),2)</f>
        <v>24414.96</v>
      </c>
      <c r="L137" s="48" t="str">
        <f>VLOOKUP($A137,'Página31'!$A$1:$V$27,COLUMN(),TRUE)</f>
        <v/>
      </c>
      <c r="M137" s="48">
        <f>VLOOKUP($A137,'Página31'!$A$1:$V$27,COLUMN(),TRUE)</f>
        <v>23280.8245</v>
      </c>
      <c r="N137" s="48">
        <f>VLOOKUP($A137,'Página31'!$A$1:$V$27,COLUMN(),TRUE)</f>
        <v>29761.03</v>
      </c>
      <c r="O137" s="48" t="str">
        <f>VLOOKUP($A137,'Página31'!$A$1:$V$27,COLUMN(),TRUE)</f>
        <v/>
      </c>
      <c r="P137" s="48">
        <f>VLOOKUP($A137,'Página31'!$A$1:$V$27,COLUMN(),TRUE)</f>
        <v>16605.16</v>
      </c>
      <c r="Q137" s="48" t="str">
        <f>VLOOKUP($A137,'Página31'!$A$1:$V$27,COLUMN(),TRUE)</f>
        <v/>
      </c>
      <c r="R137" s="48">
        <f>VLOOKUP($A137,'Página31'!$A$1:$V$27,COLUMN(),TRUE)</f>
        <v>29760.95</v>
      </c>
      <c r="S137" s="48" t="str">
        <f>VLOOKUP($A137,'Página31'!$A$1:$V$27,COLUMN(),TRUE)</f>
        <v/>
      </c>
      <c r="T137" s="73">
        <f t="shared" si="5"/>
        <v>2027</v>
      </c>
      <c r="U137" s="73">
        <f t="shared" si="6"/>
        <v>4</v>
      </c>
    </row>
    <row r="138">
      <c r="A138" s="34">
        <v>46508.0</v>
      </c>
      <c r="B138" s="48">
        <f t="shared" si="7"/>
        <v>22698.81</v>
      </c>
      <c r="C138" s="48">
        <f>ROUND(IF(MONTH($A138)=12,2.333,1)*VLOOKUP($A138,'Página31'!$A$1:$V$27,COLUMN(),TRUE),2)</f>
        <v>38625.26</v>
      </c>
      <c r="D138" s="48">
        <f t="shared" si="2"/>
        <v>29761.03</v>
      </c>
      <c r="E138" s="48">
        <f>ROUND(IF(MONTH($A138)=12,2.333,1)*VLOOKUP($A138,'Página31'!$A$1:$V$27,COLUMN(),TRUE),2)</f>
        <v>38625.26</v>
      </c>
      <c r="F138" s="48">
        <f>ROUND(IF(MONTH($A138)=12,2.333,1)*VLOOKUP($A138,'Página31'!$A$1:$V$27,COLUMN(),TRUE),2)</f>
        <v>0</v>
      </c>
      <c r="G138" s="48">
        <f t="shared" si="8"/>
        <v>16605.16</v>
      </c>
      <c r="H138" s="48">
        <f>ROUND(IF(MONTH($A138)=12,2.333,1)*VLOOKUP($A138,'Página31'!$A$1:$V$27,COLUMN(),TRUE),2)</f>
        <v>30947.21</v>
      </c>
      <c r="I138" s="48">
        <f t="shared" si="4"/>
        <v>29760.95</v>
      </c>
      <c r="J138" s="48">
        <f>ROUND(IF(MONTH($A138)=12,2.333,1)*VLOOKUP($A138,'Página31'!$A$1:$V$27,COLUMN(),TRUE),2)</f>
        <v>26975.77</v>
      </c>
      <c r="K138" s="48">
        <f>ROUND(IF(MONTH($A138)=12,2.333,1)*VLOOKUP($A138,'Página31'!$A$1:$V$27,COLUMN(),TRUE),2)</f>
        <v>24414.96</v>
      </c>
      <c r="L138" s="48" t="str">
        <f>VLOOKUP($A138,'Página31'!$A$1:$V$27,COLUMN(),TRUE)</f>
        <v/>
      </c>
      <c r="M138" s="48">
        <f>VLOOKUP($A138,'Página31'!$A$1:$V$27,COLUMN(),TRUE)</f>
        <v>23280.8245</v>
      </c>
      <c r="N138" s="48">
        <f>VLOOKUP($A138,'Página31'!$A$1:$V$27,COLUMN(),TRUE)</f>
        <v>29761.03</v>
      </c>
      <c r="O138" s="48" t="str">
        <f>VLOOKUP($A138,'Página31'!$A$1:$V$27,COLUMN(),TRUE)</f>
        <v/>
      </c>
      <c r="P138" s="48">
        <f>VLOOKUP($A138,'Página31'!$A$1:$V$27,COLUMN(),TRUE)</f>
        <v>16605.16</v>
      </c>
      <c r="Q138" s="48" t="str">
        <f>VLOOKUP($A138,'Página31'!$A$1:$V$27,COLUMN(),TRUE)</f>
        <v/>
      </c>
      <c r="R138" s="48">
        <f>VLOOKUP($A138,'Página31'!$A$1:$V$27,COLUMN(),TRUE)</f>
        <v>29760.95</v>
      </c>
      <c r="S138" s="48" t="str">
        <f>VLOOKUP($A138,'Página31'!$A$1:$V$27,COLUMN(),TRUE)</f>
        <v/>
      </c>
      <c r="T138" s="73">
        <f t="shared" si="5"/>
        <v>2027</v>
      </c>
      <c r="U138" s="73">
        <f t="shared" si="6"/>
        <v>5</v>
      </c>
    </row>
    <row r="139">
      <c r="A139" s="34">
        <v>46539.0</v>
      </c>
      <c r="B139" s="48">
        <f t="shared" si="7"/>
        <v>22698.81</v>
      </c>
      <c r="C139" s="48">
        <f>ROUND(IF(MONTH($A139)=12,2.333,1)*VLOOKUP($A139,'Página31'!$A$1:$V$27,COLUMN(),TRUE),2)</f>
        <v>38625.26</v>
      </c>
      <c r="D139" s="48">
        <f t="shared" si="2"/>
        <v>29761.03</v>
      </c>
      <c r="E139" s="48">
        <f>ROUND(IF(MONTH($A139)=12,2.333,1)*VLOOKUP($A139,'Página31'!$A$1:$V$27,COLUMN(),TRUE),2)</f>
        <v>38625.26</v>
      </c>
      <c r="F139" s="48">
        <f>ROUND(IF(MONTH($A139)=12,2.333,1)*VLOOKUP($A139,'Página31'!$A$1:$V$27,COLUMN(),TRUE),2)</f>
        <v>0</v>
      </c>
      <c r="G139" s="48">
        <f t="shared" si="8"/>
        <v>16605.16</v>
      </c>
      <c r="H139" s="48">
        <f>ROUND(IF(MONTH($A139)=12,2.333,1)*VLOOKUP($A139,'Página31'!$A$1:$V$27,COLUMN(),TRUE),2)</f>
        <v>30947.21</v>
      </c>
      <c r="I139" s="48">
        <f t="shared" si="4"/>
        <v>29760.95</v>
      </c>
      <c r="J139" s="48">
        <f>ROUND(IF(MONTH($A139)=12,2.333,1)*VLOOKUP($A139,'Página31'!$A$1:$V$27,COLUMN(),TRUE),2)</f>
        <v>26975.77</v>
      </c>
      <c r="K139" s="48">
        <f>ROUND(IF(MONTH($A139)=12,2.333,1)*VLOOKUP($A139,'Página31'!$A$1:$V$27,COLUMN(),TRUE),2)</f>
        <v>24414.96</v>
      </c>
      <c r="L139" s="48" t="str">
        <f>VLOOKUP($A139,'Página31'!$A$1:$V$27,COLUMN(),TRUE)</f>
        <v/>
      </c>
      <c r="M139" s="48">
        <f>VLOOKUP($A139,'Página31'!$A$1:$V$27,COLUMN(),TRUE)</f>
        <v>23280.8245</v>
      </c>
      <c r="N139" s="48">
        <f>VLOOKUP($A139,'Página31'!$A$1:$V$27,COLUMN(),TRUE)</f>
        <v>29761.03</v>
      </c>
      <c r="O139" s="48" t="str">
        <f>VLOOKUP($A139,'Página31'!$A$1:$V$27,COLUMN(),TRUE)</f>
        <v/>
      </c>
      <c r="P139" s="48">
        <f>VLOOKUP($A139,'Página31'!$A$1:$V$27,COLUMN(),TRUE)</f>
        <v>16605.16</v>
      </c>
      <c r="Q139" s="48" t="str">
        <f>VLOOKUP($A139,'Página31'!$A$1:$V$27,COLUMN(),TRUE)</f>
        <v/>
      </c>
      <c r="R139" s="48">
        <f>VLOOKUP($A139,'Página31'!$A$1:$V$27,COLUMN(),TRUE)</f>
        <v>29760.95</v>
      </c>
      <c r="S139" s="48" t="str">
        <f>VLOOKUP($A139,'Página31'!$A$1:$V$27,COLUMN(),TRUE)</f>
        <v/>
      </c>
      <c r="T139" s="73">
        <f t="shared" si="5"/>
        <v>2027</v>
      </c>
      <c r="U139" s="73">
        <f t="shared" si="6"/>
        <v>6</v>
      </c>
    </row>
    <row r="140">
      <c r="A140" s="34">
        <v>46569.0</v>
      </c>
      <c r="B140" s="48">
        <f t="shared" si="7"/>
        <v>22698.81</v>
      </c>
      <c r="C140" s="48">
        <f>ROUND(IF(MONTH($A140)=12,2.333,1)*VLOOKUP($A140,'Página31'!$A$1:$V$27,COLUMN(),TRUE),2)</f>
        <v>38625.26</v>
      </c>
      <c r="D140" s="48">
        <f t="shared" si="2"/>
        <v>29761.03</v>
      </c>
      <c r="E140" s="48">
        <f>ROUND(IF(MONTH($A140)=12,2.333,1)*VLOOKUP($A140,'Página31'!$A$1:$V$27,COLUMN(),TRUE),2)</f>
        <v>38625.26</v>
      </c>
      <c r="F140" s="48">
        <f>ROUND(IF(MONTH($A140)=12,2.333,1)*VLOOKUP($A140,'Página31'!$A$1:$V$27,COLUMN(),TRUE),2)</f>
        <v>0</v>
      </c>
      <c r="G140" s="48">
        <f t="shared" si="8"/>
        <v>16605.16</v>
      </c>
      <c r="H140" s="48">
        <f>ROUND(IF(MONTH($A140)=12,2.333,1)*VLOOKUP($A140,'Página31'!$A$1:$V$27,COLUMN(),TRUE),2)</f>
        <v>30947.21</v>
      </c>
      <c r="I140" s="48">
        <f t="shared" si="4"/>
        <v>29760.95</v>
      </c>
      <c r="J140" s="48">
        <f>ROUND(IF(MONTH($A140)=12,2.333,1)*VLOOKUP($A140,'Página31'!$A$1:$V$27,COLUMN(),TRUE),2)</f>
        <v>26975.77</v>
      </c>
      <c r="K140" s="48">
        <f>ROUND(IF(MONTH($A140)=12,2.333,1)*VLOOKUP($A140,'Página31'!$A$1:$V$27,COLUMN(),TRUE),2)</f>
        <v>24414.96</v>
      </c>
      <c r="L140" s="48" t="str">
        <f>VLOOKUP($A140,'Página31'!$A$1:$V$27,COLUMN(),TRUE)</f>
        <v/>
      </c>
      <c r="M140" s="48">
        <f>VLOOKUP($A140,'Página31'!$A$1:$V$27,COLUMN(),TRUE)</f>
        <v>23280.8245</v>
      </c>
      <c r="N140" s="48">
        <f>VLOOKUP($A140,'Página31'!$A$1:$V$27,COLUMN(),TRUE)</f>
        <v>29761.03</v>
      </c>
      <c r="O140" s="48" t="str">
        <f>VLOOKUP($A140,'Página31'!$A$1:$V$27,COLUMN(),TRUE)</f>
        <v/>
      </c>
      <c r="P140" s="48">
        <f>VLOOKUP($A140,'Página31'!$A$1:$V$27,COLUMN(),TRUE)</f>
        <v>16605.16</v>
      </c>
      <c r="Q140" s="48" t="str">
        <f>VLOOKUP($A140,'Página31'!$A$1:$V$27,COLUMN(),TRUE)</f>
        <v/>
      </c>
      <c r="R140" s="48">
        <f>VLOOKUP($A140,'Página31'!$A$1:$V$27,COLUMN(),TRUE)</f>
        <v>29760.95</v>
      </c>
      <c r="S140" s="48" t="str">
        <f>VLOOKUP($A140,'Página31'!$A$1:$V$27,COLUMN(),TRUE)</f>
        <v/>
      </c>
      <c r="T140" s="73">
        <f t="shared" si="5"/>
        <v>2027</v>
      </c>
      <c r="U140" s="73">
        <f t="shared" si="6"/>
        <v>7</v>
      </c>
    </row>
    <row r="141">
      <c r="A141" s="34">
        <v>46600.0</v>
      </c>
      <c r="B141" s="48">
        <f t="shared" si="7"/>
        <v>22698.81</v>
      </c>
      <c r="C141" s="48">
        <f>ROUND(IF(MONTH($A141)=12,2.333,1)*VLOOKUP($A141,'Página31'!$A$1:$V$27,COLUMN(),TRUE),2)</f>
        <v>38625.26</v>
      </c>
      <c r="D141" s="48">
        <f t="shared" si="2"/>
        <v>29761.03</v>
      </c>
      <c r="E141" s="48">
        <f>ROUND(IF(MONTH($A141)=12,2.333,1)*VLOOKUP($A141,'Página31'!$A$1:$V$27,COLUMN(),TRUE),2)</f>
        <v>38625.26</v>
      </c>
      <c r="F141" s="48">
        <f>ROUND(IF(MONTH($A141)=12,2.333,1)*VLOOKUP($A141,'Página31'!$A$1:$V$27,COLUMN(),TRUE),2)</f>
        <v>0</v>
      </c>
      <c r="G141" s="48">
        <f t="shared" si="8"/>
        <v>16605.16</v>
      </c>
      <c r="H141" s="48">
        <f>ROUND(IF(MONTH($A141)=12,2.333,1)*VLOOKUP($A141,'Página31'!$A$1:$V$27,COLUMN(),TRUE),2)</f>
        <v>30947.21</v>
      </c>
      <c r="I141" s="48">
        <f t="shared" si="4"/>
        <v>29760.95</v>
      </c>
      <c r="J141" s="48">
        <f>ROUND(IF(MONTH($A141)=12,2.333,1)*VLOOKUP($A141,'Página31'!$A$1:$V$27,COLUMN(),TRUE),2)</f>
        <v>26975.77</v>
      </c>
      <c r="K141" s="48">
        <f>ROUND(IF(MONTH($A141)=12,2.333,1)*VLOOKUP($A141,'Página31'!$A$1:$V$27,COLUMN(),TRUE),2)</f>
        <v>24414.96</v>
      </c>
      <c r="L141" s="48" t="str">
        <f>VLOOKUP($A141,'Página31'!$A$1:$V$27,COLUMN(),TRUE)</f>
        <v/>
      </c>
      <c r="M141" s="48">
        <f>VLOOKUP($A141,'Página31'!$A$1:$V$27,COLUMN(),TRUE)</f>
        <v>23280.8245</v>
      </c>
      <c r="N141" s="48">
        <f>VLOOKUP($A141,'Página31'!$A$1:$V$27,COLUMN(),TRUE)</f>
        <v>29761.03</v>
      </c>
      <c r="O141" s="48" t="str">
        <f>VLOOKUP($A141,'Página31'!$A$1:$V$27,COLUMN(),TRUE)</f>
        <v/>
      </c>
      <c r="P141" s="48">
        <f>VLOOKUP($A141,'Página31'!$A$1:$V$27,COLUMN(),TRUE)</f>
        <v>16605.16</v>
      </c>
      <c r="Q141" s="48" t="str">
        <f>VLOOKUP($A141,'Página31'!$A$1:$V$27,COLUMN(),TRUE)</f>
        <v/>
      </c>
      <c r="R141" s="48">
        <f>VLOOKUP($A141,'Página31'!$A$1:$V$27,COLUMN(),TRUE)</f>
        <v>29760.95</v>
      </c>
      <c r="S141" s="48" t="str">
        <f>VLOOKUP($A141,'Página31'!$A$1:$V$27,COLUMN(),TRUE)</f>
        <v/>
      </c>
      <c r="T141" s="73">
        <f t="shared" si="5"/>
        <v>2027</v>
      </c>
      <c r="U141" s="73">
        <f t="shared" si="6"/>
        <v>8</v>
      </c>
    </row>
    <row r="142">
      <c r="A142" s="34">
        <v>46631.0</v>
      </c>
      <c r="B142" s="48">
        <f t="shared" si="7"/>
        <v>22698.81</v>
      </c>
      <c r="C142" s="48">
        <f>ROUND(IF(MONTH($A142)=12,2.333,1)*VLOOKUP($A142,'Página31'!$A$1:$V$27,COLUMN(),TRUE),2)</f>
        <v>38625.26</v>
      </c>
      <c r="D142" s="48">
        <f t="shared" si="2"/>
        <v>29761.03</v>
      </c>
      <c r="E142" s="48">
        <f>ROUND(IF(MONTH($A142)=12,2.333,1)*VLOOKUP($A142,'Página31'!$A$1:$V$27,COLUMN(),TRUE),2)</f>
        <v>38625.26</v>
      </c>
      <c r="F142" s="48">
        <f>ROUND(IF(MONTH($A142)=12,2.333,1)*VLOOKUP($A142,'Página31'!$A$1:$V$27,COLUMN(),TRUE),2)</f>
        <v>0</v>
      </c>
      <c r="G142" s="48">
        <f t="shared" si="8"/>
        <v>16605.16</v>
      </c>
      <c r="H142" s="48">
        <f>ROUND(IF(MONTH($A142)=12,2.333,1)*VLOOKUP($A142,'Página31'!$A$1:$V$27,COLUMN(),TRUE),2)</f>
        <v>30947.21</v>
      </c>
      <c r="I142" s="48">
        <f t="shared" si="4"/>
        <v>29760.95</v>
      </c>
      <c r="J142" s="48">
        <f>ROUND(IF(MONTH($A142)=12,2.333,1)*VLOOKUP($A142,'Página31'!$A$1:$V$27,COLUMN(),TRUE),2)</f>
        <v>26975.77</v>
      </c>
      <c r="K142" s="48">
        <f>ROUND(IF(MONTH($A142)=12,2.333,1)*VLOOKUP($A142,'Página31'!$A$1:$V$27,COLUMN(),TRUE),2)</f>
        <v>24414.96</v>
      </c>
      <c r="L142" s="48" t="str">
        <f>VLOOKUP($A142,'Página31'!$A$1:$V$27,COLUMN(),TRUE)</f>
        <v/>
      </c>
      <c r="M142" s="48">
        <f>VLOOKUP($A142,'Página31'!$A$1:$V$27,COLUMN(),TRUE)</f>
        <v>23280.8245</v>
      </c>
      <c r="N142" s="48">
        <f>VLOOKUP($A142,'Página31'!$A$1:$V$27,COLUMN(),TRUE)</f>
        <v>29761.03</v>
      </c>
      <c r="O142" s="48" t="str">
        <f>VLOOKUP($A142,'Página31'!$A$1:$V$27,COLUMN(),TRUE)</f>
        <v/>
      </c>
      <c r="P142" s="48">
        <f>VLOOKUP($A142,'Página31'!$A$1:$V$27,COLUMN(),TRUE)</f>
        <v>16605.16</v>
      </c>
      <c r="Q142" s="48" t="str">
        <f>VLOOKUP($A142,'Página31'!$A$1:$V$27,COLUMN(),TRUE)</f>
        <v/>
      </c>
      <c r="R142" s="48">
        <f>VLOOKUP($A142,'Página31'!$A$1:$V$27,COLUMN(),TRUE)</f>
        <v>29760.95</v>
      </c>
      <c r="S142" s="48" t="str">
        <f>VLOOKUP($A142,'Página31'!$A$1:$V$27,COLUMN(),TRUE)</f>
        <v/>
      </c>
      <c r="T142" s="73">
        <f t="shared" si="5"/>
        <v>2027</v>
      </c>
      <c r="U142" s="73">
        <f t="shared" si="6"/>
        <v>9</v>
      </c>
    </row>
    <row r="143">
      <c r="A143" s="34">
        <v>46661.0</v>
      </c>
      <c r="B143" s="48">
        <f t="shared" si="7"/>
        <v>22698.81</v>
      </c>
      <c r="C143" s="48">
        <f>ROUND(IF(MONTH($A143)=12,2.333,1)*VLOOKUP($A143,'Página31'!$A$1:$V$27,COLUMN(),TRUE),2)</f>
        <v>38625.26</v>
      </c>
      <c r="D143" s="48">
        <f t="shared" si="2"/>
        <v>29761.03</v>
      </c>
      <c r="E143" s="48">
        <f>ROUND(IF(MONTH($A143)=12,2.333,1)*VLOOKUP($A143,'Página31'!$A$1:$V$27,COLUMN(),TRUE),2)</f>
        <v>38625.26</v>
      </c>
      <c r="F143" s="48">
        <f>ROUND(IF(MONTH($A143)=12,2.333,1)*VLOOKUP($A143,'Página31'!$A$1:$V$27,COLUMN(),TRUE),2)</f>
        <v>0</v>
      </c>
      <c r="G143" s="48">
        <f t="shared" si="8"/>
        <v>16605.16</v>
      </c>
      <c r="H143" s="48">
        <f>ROUND(IF(MONTH($A143)=12,2.333,1)*VLOOKUP($A143,'Página31'!$A$1:$V$27,COLUMN(),TRUE),2)</f>
        <v>30947.21</v>
      </c>
      <c r="I143" s="48">
        <f t="shared" si="4"/>
        <v>29760.95</v>
      </c>
      <c r="J143" s="48">
        <f>ROUND(IF(MONTH($A143)=12,2.333,1)*VLOOKUP($A143,'Página31'!$A$1:$V$27,COLUMN(),TRUE),2)</f>
        <v>26975.77</v>
      </c>
      <c r="K143" s="48">
        <f>ROUND(IF(MONTH($A143)=12,2.333,1)*VLOOKUP($A143,'Página31'!$A$1:$V$27,COLUMN(),TRUE),2)</f>
        <v>24414.96</v>
      </c>
      <c r="L143" s="48" t="str">
        <f>VLOOKUP($A143,'Página31'!$A$1:$V$27,COLUMN(),TRUE)</f>
        <v/>
      </c>
      <c r="M143" s="48">
        <f>VLOOKUP($A143,'Página31'!$A$1:$V$27,COLUMN(),TRUE)</f>
        <v>23280.8245</v>
      </c>
      <c r="N143" s="48">
        <f>VLOOKUP($A143,'Página31'!$A$1:$V$27,COLUMN(),TRUE)</f>
        <v>29761.03</v>
      </c>
      <c r="O143" s="48" t="str">
        <f>VLOOKUP($A143,'Página31'!$A$1:$V$27,COLUMN(),TRUE)</f>
        <v/>
      </c>
      <c r="P143" s="48">
        <f>VLOOKUP($A143,'Página31'!$A$1:$V$27,COLUMN(),TRUE)</f>
        <v>16605.16</v>
      </c>
      <c r="Q143" s="48" t="str">
        <f>VLOOKUP($A143,'Página31'!$A$1:$V$27,COLUMN(),TRUE)</f>
        <v/>
      </c>
      <c r="R143" s="48">
        <f>VLOOKUP($A143,'Página31'!$A$1:$V$27,COLUMN(),TRUE)</f>
        <v>29760.95</v>
      </c>
      <c r="S143" s="48" t="str">
        <f>VLOOKUP($A143,'Página31'!$A$1:$V$27,COLUMN(),TRUE)</f>
        <v/>
      </c>
      <c r="T143" s="73">
        <f t="shared" si="5"/>
        <v>2027</v>
      </c>
      <c r="U143" s="73">
        <f t="shared" si="6"/>
        <v>10</v>
      </c>
    </row>
    <row r="144">
      <c r="A144" s="34">
        <v>46692.0</v>
      </c>
      <c r="B144" s="48">
        <f t="shared" si="7"/>
        <v>22698.81</v>
      </c>
      <c r="C144" s="48">
        <f>ROUND(IF(MONTH($A144)=12,2.333,1)*VLOOKUP($A144,'Página31'!$A$1:$V$27,COLUMN(),TRUE),2)</f>
        <v>38625.26</v>
      </c>
      <c r="D144" s="48">
        <f t="shared" si="2"/>
        <v>29761.03</v>
      </c>
      <c r="E144" s="48">
        <f>ROUND(IF(MONTH($A144)=12,2.333,1)*VLOOKUP($A144,'Página31'!$A$1:$V$27,COLUMN(),TRUE),2)</f>
        <v>38625.26</v>
      </c>
      <c r="F144" s="48">
        <f>ROUND(IF(MONTH($A144)=12,2.333,1)*VLOOKUP($A144,'Página31'!$A$1:$V$27,COLUMN(),TRUE),2)</f>
        <v>0</v>
      </c>
      <c r="G144" s="48">
        <f t="shared" si="8"/>
        <v>16605.16</v>
      </c>
      <c r="H144" s="48">
        <f>ROUND(IF(MONTH($A144)=12,2.333,1)*VLOOKUP($A144,'Página31'!$A$1:$V$27,COLUMN(),TRUE),2)</f>
        <v>30947.21</v>
      </c>
      <c r="I144" s="48">
        <f t="shared" si="4"/>
        <v>29760.95</v>
      </c>
      <c r="J144" s="48">
        <f>ROUND(IF(MONTH($A144)=12,2.333,1)*VLOOKUP($A144,'Página31'!$A$1:$V$27,COLUMN(),TRUE),2)</f>
        <v>26975.77</v>
      </c>
      <c r="K144" s="48">
        <f>ROUND(IF(MONTH($A144)=12,2.333,1)*VLOOKUP($A144,'Página31'!$A$1:$V$27,COLUMN(),TRUE),2)</f>
        <v>24414.96</v>
      </c>
      <c r="L144" s="48" t="str">
        <f>VLOOKUP($A144,'Página31'!$A$1:$V$27,COLUMN(),TRUE)</f>
        <v/>
      </c>
      <c r="M144" s="48">
        <f>VLOOKUP($A144,'Página31'!$A$1:$V$27,COLUMN(),TRUE)</f>
        <v>23280.8245</v>
      </c>
      <c r="N144" s="48">
        <f>VLOOKUP($A144,'Página31'!$A$1:$V$27,COLUMN(),TRUE)</f>
        <v>29761.03</v>
      </c>
      <c r="O144" s="48" t="str">
        <f>VLOOKUP($A144,'Página31'!$A$1:$V$27,COLUMN(),TRUE)</f>
        <v/>
      </c>
      <c r="P144" s="48">
        <f>VLOOKUP($A144,'Página31'!$A$1:$V$27,COLUMN(),TRUE)</f>
        <v>16605.16</v>
      </c>
      <c r="Q144" s="48" t="str">
        <f>VLOOKUP($A144,'Página31'!$A$1:$V$27,COLUMN(),TRUE)</f>
        <v/>
      </c>
      <c r="R144" s="48">
        <f>VLOOKUP($A144,'Página31'!$A$1:$V$27,COLUMN(),TRUE)</f>
        <v>29760.95</v>
      </c>
      <c r="S144" s="48" t="str">
        <f>VLOOKUP($A144,'Página31'!$A$1:$V$27,COLUMN(),TRUE)</f>
        <v/>
      </c>
      <c r="T144" s="73">
        <f t="shared" si="5"/>
        <v>2027</v>
      </c>
      <c r="U144" s="73">
        <f t="shared" si="6"/>
        <v>11</v>
      </c>
    </row>
    <row r="145">
      <c r="A145" s="34">
        <v>46722.0</v>
      </c>
      <c r="B145" s="48">
        <f t="shared" si="7"/>
        <v>52956.32</v>
      </c>
      <c r="C145" s="48">
        <f>ROUND(IF(MONTH($A145)=12,2.333,1)*VLOOKUP($A145,'Página31'!$A$1:$V$27,COLUMN(),TRUE),2)</f>
        <v>90112.74</v>
      </c>
      <c r="D145" s="48">
        <f t="shared" si="2"/>
        <v>69432.48</v>
      </c>
      <c r="E145" s="48">
        <f>ROUND(IF(MONTH($A145)=12,2.333,1)*VLOOKUP($A145,'Página31'!$A$1:$V$27,COLUMN(),TRUE),2)</f>
        <v>90112.74</v>
      </c>
      <c r="F145" s="48">
        <f>ROUND(IF(MONTH($A145)=12,2.333,1)*VLOOKUP($A145,'Página31'!$A$1:$V$27,COLUMN(),TRUE),2)</f>
        <v>0</v>
      </c>
      <c r="G145" s="48">
        <f t="shared" si="8"/>
        <v>38739.84</v>
      </c>
      <c r="H145" s="48">
        <f>ROUND(IF(MONTH($A145)=12,2.333,1)*VLOOKUP($A145,'Página31'!$A$1:$V$27,COLUMN(),TRUE),2)</f>
        <v>72199.85</v>
      </c>
      <c r="I145" s="48">
        <f t="shared" si="4"/>
        <v>69432.3</v>
      </c>
      <c r="J145" s="48">
        <f>ROUND(IF(MONTH($A145)=12,2.333,1)*VLOOKUP($A145,'Página31'!$A$1:$V$27,COLUMN(),TRUE),2)</f>
        <v>62934.47</v>
      </c>
      <c r="K145" s="48">
        <f>ROUND(IF(MONTH($A145)=12,2.333,1)*VLOOKUP($A145,'Página31'!$A$1:$V$27,COLUMN(),TRUE),2)</f>
        <v>56960.1</v>
      </c>
      <c r="L145" s="48" t="str">
        <f>VLOOKUP($A145,'Página31'!$A$1:$V$27,COLUMN(),TRUE)</f>
        <v/>
      </c>
      <c r="M145" s="48">
        <f>VLOOKUP($A145,'Página31'!$A$1:$V$27,COLUMN(),TRUE)</f>
        <v>23280.8245</v>
      </c>
      <c r="N145" s="48">
        <f>VLOOKUP($A145,'Página31'!$A$1:$V$27,COLUMN(),TRUE)</f>
        <v>29761.03</v>
      </c>
      <c r="O145" s="48" t="str">
        <f>VLOOKUP($A145,'Página31'!$A$1:$V$27,COLUMN(),TRUE)</f>
        <v/>
      </c>
      <c r="P145" s="48">
        <f>VLOOKUP($A145,'Página31'!$A$1:$V$27,COLUMN(),TRUE)</f>
        <v>16605.16</v>
      </c>
      <c r="Q145" s="48" t="str">
        <f>VLOOKUP($A145,'Página31'!$A$1:$V$27,COLUMN(),TRUE)</f>
        <v/>
      </c>
      <c r="R145" s="48">
        <f>VLOOKUP($A145,'Página31'!$A$1:$V$27,COLUMN(),TRUE)</f>
        <v>29760.95</v>
      </c>
      <c r="S145" s="48" t="str">
        <f>VLOOKUP($A145,'Página31'!$A$1:$V$27,COLUMN(),TRUE)</f>
        <v/>
      </c>
      <c r="T145" s="73">
        <f t="shared" si="5"/>
        <v>2027</v>
      </c>
      <c r="U145" s="73">
        <f t="shared" si="6"/>
        <v>12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1" width="14.5"/>
  </cols>
  <sheetData>
    <row r="1">
      <c r="A1" s="32" t="s">
        <v>9</v>
      </c>
      <c r="B1" s="33" t="str">
        <f>'Página12'!B1</f>
        <v>PGFN | Real (bruto)</v>
      </c>
      <c r="C1" s="33" t="str">
        <f>'Página12'!C1</f>
        <v>PGFN | Ideal (bruto)</v>
      </c>
      <c r="D1" s="33" t="str">
        <f>'Página12'!D1</f>
        <v>SERFB | Real (bruto)</v>
      </c>
      <c r="E1" s="33" t="str">
        <f>'Página12'!E1</f>
        <v>SERFB | Ideal (bruto)</v>
      </c>
      <c r="F1" s="33" t="str">
        <f>'Página12'!F1</f>
        <v>STN (bruto)</v>
      </c>
      <c r="G1" s="33" t="str">
        <f>'Página12'!G1</f>
        <v>PGFN | Real (líquido)</v>
      </c>
      <c r="H1" s="33" t="str">
        <f>'Página12'!H1</f>
        <v>PGFN | Ideal (líquido)</v>
      </c>
      <c r="I1" s="33" t="str">
        <f>'Página12'!I1</f>
        <v>SERFB | Real (líquido)</v>
      </c>
      <c r="J1" s="33" t="str">
        <f>'Página12'!J1</f>
        <v>SERFB | Ideal (líquido)</v>
      </c>
      <c r="K1" s="33" t="str">
        <f>'Página12'!K1</f>
        <v>STN (líquido)</v>
      </c>
    </row>
    <row r="2">
      <c r="A2" s="34">
        <v>42370.0</v>
      </c>
      <c r="B2" s="48">
        <f>'Página12'!B2</f>
        <v>22516.94</v>
      </c>
      <c r="C2" s="48">
        <f>'Página12'!C2</f>
        <v>22516.95</v>
      </c>
      <c r="D2" s="48">
        <f>'Página12'!D2</f>
        <v>22516.88</v>
      </c>
      <c r="E2" s="48">
        <f>'Página12'!E2</f>
        <v>22516.95</v>
      </c>
      <c r="F2" s="48">
        <f>'Página12'!F2</f>
        <v>21391.1</v>
      </c>
      <c r="G2" s="48">
        <f>'Página12'!G2</f>
        <v>15398.42</v>
      </c>
      <c r="H2" s="48">
        <f>'Página12'!H2</f>
        <v>15398.42</v>
      </c>
      <c r="I2" s="48">
        <f>'Página12'!I2</f>
        <v>15398.37</v>
      </c>
      <c r="J2" s="48">
        <f>'Página12'!J2</f>
        <v>15398.42</v>
      </c>
      <c r="K2" s="48">
        <f>'Página12'!K2</f>
        <v>14671.97</v>
      </c>
    </row>
    <row r="3">
      <c r="A3" s="34">
        <v>42401.0</v>
      </c>
      <c r="B3" s="48">
        <f>B2+'Página12'!B3</f>
        <v>45033.88</v>
      </c>
      <c r="C3" s="48">
        <f>C2+'Página12'!C3</f>
        <v>45033.9</v>
      </c>
      <c r="D3" s="48">
        <f>D2+'Página12'!D3</f>
        <v>45033.76</v>
      </c>
      <c r="E3" s="48">
        <f>E2+'Página12'!E3</f>
        <v>45033.9</v>
      </c>
      <c r="F3" s="48">
        <f>F2+'Página12'!F3</f>
        <v>42782.2</v>
      </c>
      <c r="G3" s="48">
        <f>G2+'Página12'!G3</f>
        <v>30796.84</v>
      </c>
      <c r="H3" s="48">
        <f>H2+'Página12'!H3</f>
        <v>30796.84</v>
      </c>
      <c r="I3" s="48">
        <f>I2+'Página12'!I3</f>
        <v>30796.74</v>
      </c>
      <c r="J3" s="48">
        <f>J2+'Página12'!J3</f>
        <v>30796.84</v>
      </c>
      <c r="K3" s="48">
        <f>K2+'Página12'!K3</f>
        <v>29343.94</v>
      </c>
    </row>
    <row r="4">
      <c r="A4" s="34">
        <v>42430.0</v>
      </c>
      <c r="B4" s="48">
        <f>B3+'Página12'!B4</f>
        <v>67550.82</v>
      </c>
      <c r="C4" s="48">
        <f>C3+'Página12'!C4</f>
        <v>67550.85</v>
      </c>
      <c r="D4" s="48">
        <f>D3+'Página12'!D4</f>
        <v>67550.64</v>
      </c>
      <c r="E4" s="48">
        <f>E3+'Página12'!E4</f>
        <v>67550.85</v>
      </c>
      <c r="F4" s="48">
        <f>F3+'Página12'!F4</f>
        <v>64173.3</v>
      </c>
      <c r="G4" s="48">
        <f>G3+'Página12'!G4</f>
        <v>46195.26</v>
      </c>
      <c r="H4" s="48">
        <f>H3+'Página12'!H4</f>
        <v>46195.26</v>
      </c>
      <c r="I4" s="48">
        <f>I3+'Página12'!I4</f>
        <v>46195.11</v>
      </c>
      <c r="J4" s="48">
        <f>J3+'Página12'!J4</f>
        <v>46195.26</v>
      </c>
      <c r="K4" s="48">
        <f>K3+'Página12'!K4</f>
        <v>44015.91</v>
      </c>
    </row>
    <row r="5">
      <c r="A5" s="34">
        <v>42461.0</v>
      </c>
      <c r="B5" s="48">
        <f>B4+'Página12'!B5</f>
        <v>90067.76</v>
      </c>
      <c r="C5" s="48">
        <f>C4+'Página12'!C5</f>
        <v>90067.8</v>
      </c>
      <c r="D5" s="48">
        <f>D4+'Página12'!D5</f>
        <v>90067.52</v>
      </c>
      <c r="E5" s="48">
        <f>E4+'Página12'!E5</f>
        <v>90067.8</v>
      </c>
      <c r="F5" s="48">
        <f>F4+'Página12'!F5</f>
        <v>85564.4</v>
      </c>
      <c r="G5" s="48">
        <f>G4+'Página12'!G5</f>
        <v>61593.68</v>
      </c>
      <c r="H5" s="48">
        <f>H4+'Página12'!H5</f>
        <v>61593.68</v>
      </c>
      <c r="I5" s="48">
        <f>I4+'Página12'!I5</f>
        <v>61593.48</v>
      </c>
      <c r="J5" s="48">
        <f>J4+'Página12'!J5</f>
        <v>61593.68</v>
      </c>
      <c r="K5" s="48">
        <f>K4+'Página12'!K5</f>
        <v>58687.88</v>
      </c>
    </row>
    <row r="6">
      <c r="A6" s="34">
        <v>42491.0</v>
      </c>
      <c r="B6" s="48">
        <f>B5+'Página12'!B6</f>
        <v>112584.7</v>
      </c>
      <c r="C6" s="48">
        <f>C5+'Página12'!C6</f>
        <v>112584.75</v>
      </c>
      <c r="D6" s="48">
        <f>D5+'Página12'!D6</f>
        <v>112584.4</v>
      </c>
      <c r="E6" s="48">
        <f>E5+'Página12'!E6</f>
        <v>112584.75</v>
      </c>
      <c r="F6" s="48">
        <f>F5+'Página12'!F6</f>
        <v>106955.5</v>
      </c>
      <c r="G6" s="48">
        <f>G5+'Página12'!G6</f>
        <v>76992.1</v>
      </c>
      <c r="H6" s="48">
        <f>H5+'Página12'!H6</f>
        <v>76992.1</v>
      </c>
      <c r="I6" s="48">
        <f>I5+'Página12'!I6</f>
        <v>76991.85</v>
      </c>
      <c r="J6" s="48">
        <f>J5+'Página12'!J6</f>
        <v>76992.1</v>
      </c>
      <c r="K6" s="48">
        <f>K5+'Página12'!K6</f>
        <v>73359.85</v>
      </c>
    </row>
    <row r="7">
      <c r="A7" s="34">
        <v>42522.0</v>
      </c>
      <c r="B7" s="48">
        <f>B6+'Página12'!B7</f>
        <v>135101.64</v>
      </c>
      <c r="C7" s="48">
        <f>C6+'Página12'!C7</f>
        <v>135101.7</v>
      </c>
      <c r="D7" s="48">
        <f>D6+'Página12'!D7</f>
        <v>135101.28</v>
      </c>
      <c r="E7" s="48">
        <f>E6+'Página12'!E7</f>
        <v>135101.7</v>
      </c>
      <c r="F7" s="48">
        <f>F6+'Página12'!F7</f>
        <v>128346.6</v>
      </c>
      <c r="G7" s="48">
        <f>G6+'Página12'!G7</f>
        <v>92390.52</v>
      </c>
      <c r="H7" s="48">
        <f>H6+'Página12'!H7</f>
        <v>92390.52</v>
      </c>
      <c r="I7" s="48">
        <f>I6+'Página12'!I7</f>
        <v>92390.22</v>
      </c>
      <c r="J7" s="48">
        <f>J6+'Página12'!J7</f>
        <v>92390.52</v>
      </c>
      <c r="K7" s="48">
        <f>K6+'Página12'!K7</f>
        <v>88031.82</v>
      </c>
    </row>
    <row r="8">
      <c r="A8" s="34">
        <v>42552.0</v>
      </c>
      <c r="B8" s="48">
        <f>B7+'Página12'!B8</f>
        <v>157618.58</v>
      </c>
      <c r="C8" s="48">
        <f>C7+'Página12'!C8</f>
        <v>157618.65</v>
      </c>
      <c r="D8" s="48">
        <f>D7+'Página12'!D8</f>
        <v>157618.16</v>
      </c>
      <c r="E8" s="48">
        <f>E7+'Página12'!E8</f>
        <v>157618.65</v>
      </c>
      <c r="F8" s="48">
        <f>F7+'Página12'!F8</f>
        <v>149737.7</v>
      </c>
      <c r="G8" s="48">
        <f>G7+'Página12'!G8</f>
        <v>107788.94</v>
      </c>
      <c r="H8" s="48">
        <f>H7+'Página12'!H8</f>
        <v>107788.94</v>
      </c>
      <c r="I8" s="48">
        <f>I7+'Página12'!I8</f>
        <v>107788.59</v>
      </c>
      <c r="J8" s="48">
        <f>J7+'Página12'!J8</f>
        <v>107788.94</v>
      </c>
      <c r="K8" s="48">
        <f>K7+'Página12'!K8</f>
        <v>102703.79</v>
      </c>
    </row>
    <row r="9">
      <c r="A9" s="34">
        <v>42583.0</v>
      </c>
      <c r="B9" s="48">
        <f>B8+'Página12'!B9</f>
        <v>184073.95</v>
      </c>
      <c r="C9" s="48">
        <f>C8+'Página12'!C9</f>
        <v>181374.03</v>
      </c>
      <c r="D9" s="48">
        <f>D8+'Página12'!D9</f>
        <v>180135.04</v>
      </c>
      <c r="E9" s="48">
        <f>E8+'Página12'!E9</f>
        <v>181374.03</v>
      </c>
      <c r="F9" s="48">
        <f>F8+'Página12'!F9</f>
        <v>172305.31</v>
      </c>
      <c r="G9" s="48">
        <f>G8+'Página12'!G9</f>
        <v>125943.95</v>
      </c>
      <c r="H9" s="48">
        <f>H8+'Página12'!H9</f>
        <v>123986.46</v>
      </c>
      <c r="I9" s="48">
        <f>I8+'Página12'!I9</f>
        <v>123186.96</v>
      </c>
      <c r="J9" s="48">
        <f>J8+'Página12'!J9</f>
        <v>123986.46</v>
      </c>
      <c r="K9" s="48">
        <f>K8+'Página12'!K9</f>
        <v>118134.9</v>
      </c>
    </row>
    <row r="10">
      <c r="A10" s="34">
        <v>42614.0</v>
      </c>
      <c r="B10" s="48">
        <f>B9+'Página12'!B10</f>
        <v>210529.32</v>
      </c>
      <c r="C10" s="48">
        <f>C9+'Página12'!C10</f>
        <v>205129.41</v>
      </c>
      <c r="D10" s="48">
        <f>D9+'Página12'!D10</f>
        <v>205351.92</v>
      </c>
      <c r="E10" s="48">
        <f>E9+'Página12'!E10</f>
        <v>205129.41</v>
      </c>
      <c r="F10" s="48">
        <f>F9+'Página12'!F10</f>
        <v>194872.92</v>
      </c>
      <c r="G10" s="48">
        <f>G9+'Página12'!G10</f>
        <v>144098.96</v>
      </c>
      <c r="H10" s="48">
        <f>H9+'Página12'!H10</f>
        <v>140183.98</v>
      </c>
      <c r="I10" s="48">
        <f>I9+'Página12'!I10</f>
        <v>140542.83</v>
      </c>
      <c r="J10" s="48">
        <f>J9+'Página12'!J10</f>
        <v>140183.98</v>
      </c>
      <c r="K10" s="48">
        <f>K9+'Página12'!K10</f>
        <v>133566.01</v>
      </c>
    </row>
    <row r="11">
      <c r="A11" s="34">
        <v>42644.0</v>
      </c>
      <c r="B11" s="48">
        <f>B10+'Página12'!B11</f>
        <v>236984.69</v>
      </c>
      <c r="C11" s="48">
        <f>C10+'Página12'!C11</f>
        <v>228884.79</v>
      </c>
      <c r="D11" s="48">
        <f>D10+'Página12'!D11</f>
        <v>230568.8</v>
      </c>
      <c r="E11" s="48">
        <f>E10+'Página12'!E11</f>
        <v>228884.79</v>
      </c>
      <c r="F11" s="48">
        <f>F10+'Página12'!F11</f>
        <v>217440.53</v>
      </c>
      <c r="G11" s="48">
        <f>G10+'Página12'!G11</f>
        <v>162253.97</v>
      </c>
      <c r="H11" s="48">
        <f>H10+'Página12'!H11</f>
        <v>156381.5</v>
      </c>
      <c r="I11" s="48">
        <f>I10+'Página12'!I11</f>
        <v>157898.7</v>
      </c>
      <c r="J11" s="48">
        <f>J10+'Página12'!J11</f>
        <v>156381.5</v>
      </c>
      <c r="K11" s="48">
        <f>K10+'Página12'!K11</f>
        <v>148997.12</v>
      </c>
    </row>
    <row r="12">
      <c r="A12" s="34">
        <v>42675.0</v>
      </c>
      <c r="B12" s="48">
        <f>B11+'Página12'!B12</f>
        <v>263440.06</v>
      </c>
      <c r="C12" s="48">
        <f>C11+'Página12'!C12</f>
        <v>252640.17</v>
      </c>
      <c r="D12" s="48">
        <f>D11+'Página12'!D12</f>
        <v>255785.68</v>
      </c>
      <c r="E12" s="48">
        <f>E11+'Página12'!E12</f>
        <v>252640.17</v>
      </c>
      <c r="F12" s="48">
        <f>F11+'Página12'!F12</f>
        <v>240008.14</v>
      </c>
      <c r="G12" s="48">
        <f>G11+'Página12'!G12</f>
        <v>180408.98</v>
      </c>
      <c r="H12" s="48">
        <f>H11+'Página12'!H12</f>
        <v>172579.02</v>
      </c>
      <c r="I12" s="48">
        <f>I11+'Página12'!I12</f>
        <v>175254.57</v>
      </c>
      <c r="J12" s="48">
        <f>J11+'Página12'!J12</f>
        <v>172579.02</v>
      </c>
      <c r="K12" s="48">
        <f>K11+'Página12'!K12</f>
        <v>164428.23</v>
      </c>
    </row>
    <row r="13">
      <c r="A13" s="34">
        <v>42705.0</v>
      </c>
      <c r="B13" s="48">
        <f>B12+'Página12'!B13</f>
        <v>325160.44</v>
      </c>
      <c r="C13" s="48">
        <f>C12+'Página12'!C13</f>
        <v>308061.47</v>
      </c>
      <c r="D13" s="48">
        <f>D12+'Página12'!D13</f>
        <v>314616.66</v>
      </c>
      <c r="E13" s="48">
        <f>E12+'Página12'!E13</f>
        <v>308061.47</v>
      </c>
      <c r="F13" s="48">
        <f>F12+'Página12'!F13</f>
        <v>292658.37</v>
      </c>
      <c r="G13" s="48">
        <f>G12+'Página12'!G13</f>
        <v>222764.63</v>
      </c>
      <c r="H13" s="48">
        <f>H12+'Página12'!H13</f>
        <v>210367.83</v>
      </c>
      <c r="I13" s="48">
        <f>I12+'Página12'!I13</f>
        <v>215745.83</v>
      </c>
      <c r="J13" s="48">
        <f>J12+'Página12'!J13</f>
        <v>210367.83</v>
      </c>
      <c r="K13" s="48">
        <f>K12+'Página12'!K13</f>
        <v>200429.01</v>
      </c>
    </row>
    <row r="14">
      <c r="A14" s="34">
        <v>42736.0</v>
      </c>
      <c r="B14" s="48">
        <f>B13+'Página12'!B14</f>
        <v>353399.83</v>
      </c>
      <c r="C14" s="48">
        <f>C13+'Página12'!C14</f>
        <v>333474.8</v>
      </c>
      <c r="D14" s="48">
        <f>D13+'Página12'!D14</f>
        <v>342259.73</v>
      </c>
      <c r="E14" s="48">
        <f>E13+'Página12'!E14</f>
        <v>333474.8</v>
      </c>
      <c r="F14" s="48">
        <f>F13+'Página12'!F14</f>
        <v>316801.03</v>
      </c>
      <c r="G14" s="48">
        <f>G13+'Página12'!G14</f>
        <v>242118.33</v>
      </c>
      <c r="H14" s="48">
        <f>H13+'Página12'!H14</f>
        <v>227635.14</v>
      </c>
      <c r="I14" s="48">
        <f>I13+'Página12'!I14</f>
        <v>234667.2</v>
      </c>
      <c r="J14" s="48">
        <f>J13+'Página12'!J14</f>
        <v>227635.14</v>
      </c>
      <c r="K14" s="48">
        <f>K13+'Página12'!K14</f>
        <v>216876.42</v>
      </c>
    </row>
    <row r="15">
      <c r="A15" s="34">
        <v>42767.0</v>
      </c>
      <c r="B15" s="48">
        <f>B14+'Página12'!B15</f>
        <v>381639.22</v>
      </c>
      <c r="C15" s="48">
        <f>C14+'Página12'!C15</f>
        <v>358888.13</v>
      </c>
      <c r="D15" s="48">
        <f>D14+'Página12'!D15</f>
        <v>369902.8</v>
      </c>
      <c r="E15" s="48">
        <f>E14+'Página12'!E15</f>
        <v>358888.13</v>
      </c>
      <c r="F15" s="48">
        <f>F14+'Página12'!F15</f>
        <v>340943.69</v>
      </c>
      <c r="G15" s="48">
        <f>G14+'Página12'!G15</f>
        <v>261472.03</v>
      </c>
      <c r="H15" s="48">
        <f>H14+'Página12'!H15</f>
        <v>244902.45</v>
      </c>
      <c r="I15" s="48">
        <f>I14+'Página12'!I15</f>
        <v>253588.57</v>
      </c>
      <c r="J15" s="48">
        <f>J14+'Página12'!J15</f>
        <v>244902.45</v>
      </c>
      <c r="K15" s="48">
        <f>K14+'Página12'!K15</f>
        <v>233323.83</v>
      </c>
    </row>
    <row r="16">
      <c r="A16" s="34">
        <v>42795.0</v>
      </c>
      <c r="B16" s="48">
        <f>B15+'Página12'!B16</f>
        <v>409878.61</v>
      </c>
      <c r="C16" s="48">
        <f>C15+'Página12'!C16</f>
        <v>384301.46</v>
      </c>
      <c r="D16" s="48">
        <f>D15+'Página12'!D16</f>
        <v>397545.87</v>
      </c>
      <c r="E16" s="48">
        <f>E15+'Página12'!E16</f>
        <v>384301.46</v>
      </c>
      <c r="F16" s="48">
        <f>F15+'Página12'!F16</f>
        <v>365086.35</v>
      </c>
      <c r="G16" s="48">
        <f>G15+'Página12'!G16</f>
        <v>280825.73</v>
      </c>
      <c r="H16" s="48">
        <f>H15+'Página12'!H16</f>
        <v>262169.76</v>
      </c>
      <c r="I16" s="48">
        <f>I15+'Página12'!I16</f>
        <v>272509.94</v>
      </c>
      <c r="J16" s="48">
        <f>J15+'Página12'!J16</f>
        <v>262169.76</v>
      </c>
      <c r="K16" s="48">
        <f>K15+'Página12'!K16</f>
        <v>249771.24</v>
      </c>
    </row>
    <row r="17">
      <c r="A17" s="34">
        <v>42826.0</v>
      </c>
      <c r="B17" s="48">
        <f>B16+'Página12'!B17</f>
        <v>438118</v>
      </c>
      <c r="C17" s="48">
        <f>C16+'Página12'!C17</f>
        <v>409714.79</v>
      </c>
      <c r="D17" s="48">
        <f>D16+'Página12'!D17</f>
        <v>425188.94</v>
      </c>
      <c r="E17" s="48">
        <f>E16+'Página12'!E17</f>
        <v>409714.79</v>
      </c>
      <c r="F17" s="48">
        <f>F16+'Página12'!F17</f>
        <v>389229.01</v>
      </c>
      <c r="G17" s="48">
        <f>G16+'Página12'!G17</f>
        <v>300179.43</v>
      </c>
      <c r="H17" s="48">
        <f>H16+'Página12'!H17</f>
        <v>279437.07</v>
      </c>
      <c r="I17" s="48">
        <f>I16+'Página12'!I17</f>
        <v>291431.31</v>
      </c>
      <c r="J17" s="48">
        <f>J16+'Página12'!J17</f>
        <v>279437.07</v>
      </c>
      <c r="K17" s="48">
        <f>K16+'Página12'!K17</f>
        <v>266218.65</v>
      </c>
    </row>
    <row r="18">
      <c r="A18" s="34">
        <v>42856.0</v>
      </c>
      <c r="B18" s="48">
        <f>B17+'Página12'!B18</f>
        <v>466357.39</v>
      </c>
      <c r="C18" s="48">
        <f>C17+'Página12'!C18</f>
        <v>435128.12</v>
      </c>
      <c r="D18" s="48">
        <f>D17+'Página12'!D18</f>
        <v>452832.01</v>
      </c>
      <c r="E18" s="48">
        <f>E17+'Página12'!E18</f>
        <v>435128.12</v>
      </c>
      <c r="F18" s="48">
        <f>F17+'Página12'!F18</f>
        <v>413371.67</v>
      </c>
      <c r="G18" s="48">
        <f>G17+'Página12'!G18</f>
        <v>319533.13</v>
      </c>
      <c r="H18" s="48">
        <f>H17+'Página12'!H18</f>
        <v>296704.38</v>
      </c>
      <c r="I18" s="48">
        <f>I17+'Página12'!I18</f>
        <v>310352.68</v>
      </c>
      <c r="J18" s="48">
        <f>J17+'Página12'!J18</f>
        <v>296704.38</v>
      </c>
      <c r="K18" s="48">
        <f>K17+'Página12'!K18</f>
        <v>282666.06</v>
      </c>
    </row>
    <row r="19">
      <c r="A19" s="34">
        <v>42887.0</v>
      </c>
      <c r="B19" s="48">
        <f>B18+'Página12'!B19</f>
        <v>494596.78</v>
      </c>
      <c r="C19" s="48">
        <f>C18+'Página12'!C19</f>
        <v>460541.45</v>
      </c>
      <c r="D19" s="48">
        <f>D18+'Página12'!D19</f>
        <v>480475.08</v>
      </c>
      <c r="E19" s="48">
        <f>E18+'Página12'!E19</f>
        <v>460541.45</v>
      </c>
      <c r="F19" s="48">
        <f>F18+'Página12'!F19</f>
        <v>437514.33</v>
      </c>
      <c r="G19" s="48">
        <f>G18+'Página12'!G19</f>
        <v>338886.83</v>
      </c>
      <c r="H19" s="48">
        <f>H18+'Página12'!H19</f>
        <v>313971.69</v>
      </c>
      <c r="I19" s="48">
        <f>I18+'Página12'!I19</f>
        <v>329274.05</v>
      </c>
      <c r="J19" s="48">
        <f>J18+'Página12'!J19</f>
        <v>313971.69</v>
      </c>
      <c r="K19" s="48">
        <f>K18+'Página12'!K19</f>
        <v>299113.47</v>
      </c>
    </row>
    <row r="20">
      <c r="A20" s="34">
        <v>42917.0</v>
      </c>
      <c r="B20" s="48">
        <f>B19+'Página12'!B20</f>
        <v>522836.17</v>
      </c>
      <c r="C20" s="48">
        <f>C19+'Página12'!C20</f>
        <v>485954.78</v>
      </c>
      <c r="D20" s="48">
        <f>D19+'Página12'!D20</f>
        <v>508118.15</v>
      </c>
      <c r="E20" s="48">
        <f>E19+'Página12'!E20</f>
        <v>485954.78</v>
      </c>
      <c r="F20" s="48">
        <f>F19+'Página12'!F20</f>
        <v>461656.99</v>
      </c>
      <c r="G20" s="48">
        <f>G19+'Página12'!G20</f>
        <v>358240.53</v>
      </c>
      <c r="H20" s="48">
        <f>H19+'Página12'!H20</f>
        <v>331239</v>
      </c>
      <c r="I20" s="48">
        <f>I19+'Página12'!I20</f>
        <v>348195.42</v>
      </c>
      <c r="J20" s="48">
        <f>J19+'Página12'!J20</f>
        <v>331239</v>
      </c>
      <c r="K20" s="48">
        <f>K19+'Página12'!K20</f>
        <v>315560.88</v>
      </c>
    </row>
    <row r="21">
      <c r="A21" s="34">
        <v>42948.0</v>
      </c>
      <c r="B21" s="48">
        <f>B20+'Página12'!B21</f>
        <v>551075.56</v>
      </c>
      <c r="C21" s="48">
        <f>C20+'Página12'!C21</f>
        <v>511368.11</v>
      </c>
      <c r="D21" s="48">
        <f>D20+'Página12'!D21</f>
        <v>535761.22</v>
      </c>
      <c r="E21" s="48">
        <f>E20+'Página12'!E21</f>
        <v>511368.11</v>
      </c>
      <c r="F21" s="48">
        <f>F20+'Página12'!F21</f>
        <v>485799.65</v>
      </c>
      <c r="G21" s="48">
        <f>G20+'Página12'!G21</f>
        <v>377594.23</v>
      </c>
      <c r="H21" s="48">
        <f>H20+'Página12'!H21</f>
        <v>348506.31</v>
      </c>
      <c r="I21" s="48">
        <f>I20+'Página12'!I21</f>
        <v>367116.79</v>
      </c>
      <c r="J21" s="48">
        <f>J20+'Página12'!J21</f>
        <v>348506.31</v>
      </c>
      <c r="K21" s="48">
        <f>K20+'Página12'!K21</f>
        <v>332008.29</v>
      </c>
    </row>
    <row r="22">
      <c r="A22" s="34">
        <v>42979.0</v>
      </c>
      <c r="B22" s="48">
        <f>B21+'Página12'!B22</f>
        <v>579314.95</v>
      </c>
      <c r="C22" s="48">
        <f>C21+'Página12'!C22</f>
        <v>536781.44</v>
      </c>
      <c r="D22" s="48">
        <f>D21+'Página12'!D22</f>
        <v>563404.29</v>
      </c>
      <c r="E22" s="48">
        <f>E21+'Página12'!E22</f>
        <v>536781.44</v>
      </c>
      <c r="F22" s="48">
        <f>F21+'Página12'!F22</f>
        <v>509942.31</v>
      </c>
      <c r="G22" s="48">
        <f>G21+'Página12'!G22</f>
        <v>396947.93</v>
      </c>
      <c r="H22" s="48">
        <f>H21+'Página12'!H22</f>
        <v>365773.62</v>
      </c>
      <c r="I22" s="48">
        <f>I21+'Página12'!I22</f>
        <v>386038.16</v>
      </c>
      <c r="J22" s="48">
        <f>J21+'Página12'!J22</f>
        <v>365773.62</v>
      </c>
      <c r="K22" s="48">
        <f>K21+'Página12'!K22</f>
        <v>348455.7</v>
      </c>
    </row>
    <row r="23">
      <c r="A23" s="34">
        <v>43009.0</v>
      </c>
      <c r="B23" s="48">
        <f>B22+'Página12'!B23</f>
        <v>607554.34</v>
      </c>
      <c r="C23" s="48">
        <f>C22+'Página12'!C23</f>
        <v>562194.77</v>
      </c>
      <c r="D23" s="48">
        <f>D22+'Página12'!D23</f>
        <v>591047.36</v>
      </c>
      <c r="E23" s="48">
        <f>E22+'Página12'!E23</f>
        <v>562194.77</v>
      </c>
      <c r="F23" s="48">
        <f>F22+'Página12'!F23</f>
        <v>534084.97</v>
      </c>
      <c r="G23" s="48">
        <f>G22+'Página12'!G23</f>
        <v>416301.63</v>
      </c>
      <c r="H23" s="48">
        <f>H22+'Página12'!H23</f>
        <v>383040.93</v>
      </c>
      <c r="I23" s="48">
        <f>I22+'Página12'!I23</f>
        <v>404959.53</v>
      </c>
      <c r="J23" s="48">
        <f>J22+'Página12'!J23</f>
        <v>383040.93</v>
      </c>
      <c r="K23" s="48">
        <f>K22+'Página12'!K23</f>
        <v>364903.11</v>
      </c>
    </row>
    <row r="24">
      <c r="A24" s="34">
        <v>43040.0</v>
      </c>
      <c r="B24" s="48">
        <f>B23+'Página12'!B24</f>
        <v>635793.73</v>
      </c>
      <c r="C24" s="48">
        <f>C23+'Página12'!C24</f>
        <v>587608.1</v>
      </c>
      <c r="D24" s="48">
        <f>D23+'Página12'!D24</f>
        <v>618690.43</v>
      </c>
      <c r="E24" s="48">
        <f>E23+'Página12'!E24</f>
        <v>587608.1</v>
      </c>
      <c r="F24" s="48">
        <f>F23+'Página12'!F24</f>
        <v>558227.63</v>
      </c>
      <c r="G24" s="48">
        <f>G23+'Página12'!G24</f>
        <v>435655.33</v>
      </c>
      <c r="H24" s="48">
        <f>H23+'Página12'!H24</f>
        <v>400308.24</v>
      </c>
      <c r="I24" s="48">
        <f>I23+'Página12'!I24</f>
        <v>423880.9</v>
      </c>
      <c r="J24" s="48">
        <f>J23+'Página12'!J24</f>
        <v>400308.24</v>
      </c>
      <c r="K24" s="48">
        <f>K23+'Página12'!K24</f>
        <v>381350.52</v>
      </c>
    </row>
    <row r="25">
      <c r="A25" s="34">
        <v>43070.0</v>
      </c>
      <c r="B25" s="48">
        <f>B24+'Página12'!B25</f>
        <v>701676.23</v>
      </c>
      <c r="C25" s="48">
        <f>C24+'Página12'!C25</f>
        <v>646897.39</v>
      </c>
      <c r="D25" s="48">
        <f>D24+'Página12'!D25</f>
        <v>683181.71</v>
      </c>
      <c r="E25" s="48">
        <f>E24+'Página12'!E25</f>
        <v>646897.39</v>
      </c>
      <c r="F25" s="48">
        <f>F24+'Página12'!F25</f>
        <v>614552.46</v>
      </c>
      <c r="G25" s="48">
        <f>G24+'Página12'!G25</f>
        <v>480807.51</v>
      </c>
      <c r="H25" s="48">
        <f>H24+'Página12'!H25</f>
        <v>440592.86</v>
      </c>
      <c r="I25" s="48">
        <f>I24+'Página12'!I25</f>
        <v>468024.47</v>
      </c>
      <c r="J25" s="48">
        <f>J24+'Página12'!J25</f>
        <v>440592.86</v>
      </c>
      <c r="K25" s="48">
        <f>K24+'Página12'!K25</f>
        <v>419722.34</v>
      </c>
    </row>
    <row r="26">
      <c r="A26" s="34">
        <v>43101.0</v>
      </c>
      <c r="B26" s="48">
        <f>B25+'Página12'!B26</f>
        <v>733610.96</v>
      </c>
      <c r="C26" s="48">
        <f>C25+'Página12'!C26</f>
        <v>673998.03</v>
      </c>
      <c r="D26" s="48">
        <f>D25+'Página12'!D26</f>
        <v>712009.58</v>
      </c>
      <c r="E26" s="48">
        <f>E25+'Página12'!E26</f>
        <v>673998.03</v>
      </c>
      <c r="F26" s="48">
        <f>F25+'Página12'!F26</f>
        <v>640298.07</v>
      </c>
      <c r="G26" s="48">
        <f>G25+'Página12'!G26</f>
        <v>502745.85</v>
      </c>
      <c r="H26" s="48">
        <f>H25+'Página12'!H26</f>
        <v>458948.91</v>
      </c>
      <c r="I26" s="48">
        <f>I25+'Página12'!I26</f>
        <v>487710.34</v>
      </c>
      <c r="J26" s="48">
        <f>J25+'Página12'!J26</f>
        <v>458948.91</v>
      </c>
      <c r="K26" s="48">
        <f>K25+'Página12'!K26</f>
        <v>437204.05</v>
      </c>
    </row>
    <row r="27">
      <c r="A27" s="34">
        <v>43132.0</v>
      </c>
      <c r="B27" s="48">
        <f>B26+'Página12'!B27</f>
        <v>765545.69</v>
      </c>
      <c r="C27" s="48">
        <f>C26+'Página12'!C27</f>
        <v>701098.67</v>
      </c>
      <c r="D27" s="48">
        <f>D26+'Página12'!D27</f>
        <v>740837.45</v>
      </c>
      <c r="E27" s="48">
        <f>E26+'Página12'!E27</f>
        <v>701098.67</v>
      </c>
      <c r="F27" s="48">
        <f>F26+'Página12'!F27</f>
        <v>666043.68</v>
      </c>
      <c r="G27" s="48">
        <f>G26+'Página12'!G27</f>
        <v>524684.19</v>
      </c>
      <c r="H27" s="48">
        <f>H26+'Página12'!H27</f>
        <v>477304.96</v>
      </c>
      <c r="I27" s="48">
        <f>I26+'Página12'!I27</f>
        <v>507396.21</v>
      </c>
      <c r="J27" s="48">
        <f>J26+'Página12'!J27</f>
        <v>477304.96</v>
      </c>
      <c r="K27" s="48">
        <f>K26+'Página12'!K27</f>
        <v>454685.76</v>
      </c>
    </row>
    <row r="28">
      <c r="A28" s="34">
        <v>43160.0</v>
      </c>
      <c r="B28" s="48">
        <f>B27+'Página12'!B28</f>
        <v>797480.42</v>
      </c>
      <c r="C28" s="48">
        <f>C27+'Página12'!C28</f>
        <v>728199.31</v>
      </c>
      <c r="D28" s="48">
        <f>D27+'Página12'!D28</f>
        <v>769665.32</v>
      </c>
      <c r="E28" s="48">
        <f>E27+'Página12'!E28</f>
        <v>728199.31</v>
      </c>
      <c r="F28" s="48">
        <f>F27+'Página12'!F28</f>
        <v>691789.29</v>
      </c>
      <c r="G28" s="48">
        <f>G27+'Página12'!G28</f>
        <v>546622.53</v>
      </c>
      <c r="H28" s="48">
        <f>H27+'Página12'!H28</f>
        <v>495661.01</v>
      </c>
      <c r="I28" s="48">
        <f>I27+'Página12'!I28</f>
        <v>527082.08</v>
      </c>
      <c r="J28" s="48">
        <f>J27+'Página12'!J28</f>
        <v>495661.01</v>
      </c>
      <c r="K28" s="48">
        <f>K27+'Página12'!K28</f>
        <v>472167.47</v>
      </c>
    </row>
    <row r="29">
      <c r="A29" s="34">
        <v>43191.0</v>
      </c>
      <c r="B29" s="48">
        <f>B28+'Página12'!B29</f>
        <v>829415.15</v>
      </c>
      <c r="C29" s="48">
        <f>C28+'Página12'!C29</f>
        <v>755299.95</v>
      </c>
      <c r="D29" s="48">
        <f>D28+'Página12'!D29</f>
        <v>798493.19</v>
      </c>
      <c r="E29" s="48">
        <f>E28+'Página12'!E29</f>
        <v>755299.95</v>
      </c>
      <c r="F29" s="48">
        <f>F28+'Página12'!F29</f>
        <v>717534.9</v>
      </c>
      <c r="G29" s="48">
        <f>G28+'Página12'!G29</f>
        <v>568560.87</v>
      </c>
      <c r="H29" s="48">
        <f>H28+'Página12'!H29</f>
        <v>514017.06</v>
      </c>
      <c r="I29" s="48">
        <f>I28+'Página12'!I29</f>
        <v>546767.95</v>
      </c>
      <c r="J29" s="48">
        <f>J28+'Página12'!J29</f>
        <v>514017.06</v>
      </c>
      <c r="K29" s="48">
        <f>K28+'Página12'!K29</f>
        <v>489649.18</v>
      </c>
    </row>
    <row r="30">
      <c r="A30" s="34">
        <v>43221.0</v>
      </c>
      <c r="B30" s="48">
        <f>B29+'Página12'!B30</f>
        <v>861349.88</v>
      </c>
      <c r="C30" s="48">
        <f>C29+'Página12'!C30</f>
        <v>782400.59</v>
      </c>
      <c r="D30" s="48">
        <f>D29+'Página12'!D30</f>
        <v>827321.06</v>
      </c>
      <c r="E30" s="48">
        <f>E29+'Página12'!E30</f>
        <v>782400.59</v>
      </c>
      <c r="F30" s="48">
        <f>F29+'Página12'!F30</f>
        <v>743280.51</v>
      </c>
      <c r="G30" s="48">
        <f>G29+'Página12'!G30</f>
        <v>590499.21</v>
      </c>
      <c r="H30" s="48">
        <f>H29+'Página12'!H30</f>
        <v>532373.11</v>
      </c>
      <c r="I30" s="48">
        <f>I29+'Página12'!I30</f>
        <v>566453.82</v>
      </c>
      <c r="J30" s="48">
        <f>J29+'Página12'!J30</f>
        <v>532373.11</v>
      </c>
      <c r="K30" s="48">
        <f>K29+'Página12'!K30</f>
        <v>507130.89</v>
      </c>
    </row>
    <row r="31">
      <c r="A31" s="34">
        <v>43252.0</v>
      </c>
      <c r="B31" s="48">
        <f>B30+'Página12'!B31</f>
        <v>893284.61</v>
      </c>
      <c r="C31" s="48">
        <f>C30+'Página12'!C31</f>
        <v>809501.23</v>
      </c>
      <c r="D31" s="48">
        <f>D30+'Página12'!D31</f>
        <v>856148.93</v>
      </c>
      <c r="E31" s="48">
        <f>E30+'Página12'!E31</f>
        <v>809501.23</v>
      </c>
      <c r="F31" s="48">
        <f>F30+'Página12'!F31</f>
        <v>769026.12</v>
      </c>
      <c r="G31" s="48">
        <f>G30+'Página12'!G31</f>
        <v>612437.55</v>
      </c>
      <c r="H31" s="48">
        <f>H30+'Página12'!H31</f>
        <v>550729.16</v>
      </c>
      <c r="I31" s="48">
        <f>I30+'Página12'!I31</f>
        <v>586139.69</v>
      </c>
      <c r="J31" s="48">
        <f>J30+'Página12'!J31</f>
        <v>550729.16</v>
      </c>
      <c r="K31" s="48">
        <f>K30+'Página12'!K31</f>
        <v>524612.6</v>
      </c>
    </row>
    <row r="32">
      <c r="A32" s="34">
        <v>43282.0</v>
      </c>
      <c r="B32" s="48">
        <f>B31+'Página12'!B32</f>
        <v>925219.34</v>
      </c>
      <c r="C32" s="48">
        <f>C31+'Página12'!C32</f>
        <v>836601.87</v>
      </c>
      <c r="D32" s="48">
        <f>D31+'Página12'!D32</f>
        <v>884976.8</v>
      </c>
      <c r="E32" s="48">
        <f>E31+'Página12'!E32</f>
        <v>836601.87</v>
      </c>
      <c r="F32" s="48">
        <f>F31+'Página12'!F32</f>
        <v>794771.73</v>
      </c>
      <c r="G32" s="48">
        <f>G31+'Página12'!G32</f>
        <v>634375.89</v>
      </c>
      <c r="H32" s="48">
        <f>H31+'Página12'!H32</f>
        <v>569085.21</v>
      </c>
      <c r="I32" s="48">
        <f>I31+'Página12'!I32</f>
        <v>605825.56</v>
      </c>
      <c r="J32" s="48">
        <f>J31+'Página12'!J32</f>
        <v>569085.21</v>
      </c>
      <c r="K32" s="48">
        <f>K31+'Página12'!K32</f>
        <v>542094.31</v>
      </c>
    </row>
    <row r="33">
      <c r="A33" s="34">
        <v>43313.0</v>
      </c>
      <c r="B33" s="48">
        <f>B32+'Página12'!B33</f>
        <v>957154.07</v>
      </c>
      <c r="C33" s="48">
        <f>C32+'Página12'!C33</f>
        <v>863702.51</v>
      </c>
      <c r="D33" s="48">
        <f>D32+'Página12'!D33</f>
        <v>913804.67</v>
      </c>
      <c r="E33" s="48">
        <f>E32+'Página12'!E33</f>
        <v>863702.51</v>
      </c>
      <c r="F33" s="48">
        <f>F32+'Página12'!F33</f>
        <v>820517.34</v>
      </c>
      <c r="G33" s="48">
        <f>G32+'Página12'!G33</f>
        <v>656314.23</v>
      </c>
      <c r="H33" s="48">
        <f>H32+'Página12'!H33</f>
        <v>587441.26</v>
      </c>
      <c r="I33" s="48">
        <f>I32+'Página12'!I33</f>
        <v>625511.43</v>
      </c>
      <c r="J33" s="48">
        <f>J32+'Página12'!J33</f>
        <v>587441.26</v>
      </c>
      <c r="K33" s="48">
        <f>K32+'Página12'!K33</f>
        <v>559576.02</v>
      </c>
    </row>
    <row r="34">
      <c r="A34" s="34">
        <v>43344.0</v>
      </c>
      <c r="B34" s="48">
        <f>B33+'Página12'!B34</f>
        <v>989088.8</v>
      </c>
      <c r="C34" s="48">
        <f>C33+'Página12'!C34</f>
        <v>890803.15</v>
      </c>
      <c r="D34" s="48">
        <f>D33+'Página12'!D34</f>
        <v>942632.54</v>
      </c>
      <c r="E34" s="48">
        <f>E33+'Página12'!E34</f>
        <v>890803.15</v>
      </c>
      <c r="F34" s="48">
        <f>F33+'Página12'!F34</f>
        <v>846262.95</v>
      </c>
      <c r="G34" s="48">
        <f>G33+'Página12'!G34</f>
        <v>678252.57</v>
      </c>
      <c r="H34" s="48">
        <f>H33+'Página12'!H34</f>
        <v>605797.31</v>
      </c>
      <c r="I34" s="48">
        <f>I33+'Página12'!I34</f>
        <v>645197.3</v>
      </c>
      <c r="J34" s="48">
        <f>J33+'Página12'!J34</f>
        <v>605797.31</v>
      </c>
      <c r="K34" s="48">
        <f>K33+'Página12'!K34</f>
        <v>577057.73</v>
      </c>
    </row>
    <row r="35">
      <c r="A35" s="34">
        <v>43374.0</v>
      </c>
      <c r="B35" s="48">
        <f>B34+'Página12'!B35</f>
        <v>1021023.53</v>
      </c>
      <c r="C35" s="48">
        <f>C34+'Página12'!C35</f>
        <v>917903.79</v>
      </c>
      <c r="D35" s="48">
        <f>D34+'Página12'!D35</f>
        <v>971460.41</v>
      </c>
      <c r="E35" s="48">
        <f>E34+'Página12'!E35</f>
        <v>917903.79</v>
      </c>
      <c r="F35" s="48">
        <f>F34+'Página12'!F35</f>
        <v>872008.56</v>
      </c>
      <c r="G35" s="48">
        <f>G34+'Página12'!G35</f>
        <v>700190.91</v>
      </c>
      <c r="H35" s="48">
        <f>H34+'Página12'!H35</f>
        <v>624153.36</v>
      </c>
      <c r="I35" s="48">
        <f>I34+'Página12'!I35</f>
        <v>664883.17</v>
      </c>
      <c r="J35" s="48">
        <f>J34+'Página12'!J35</f>
        <v>624153.36</v>
      </c>
      <c r="K35" s="48">
        <f>K34+'Página12'!K35</f>
        <v>594539.44</v>
      </c>
    </row>
    <row r="36">
      <c r="A36" s="34">
        <v>43405.0</v>
      </c>
      <c r="B36" s="48">
        <f>B35+'Página12'!B36</f>
        <v>1052958.26</v>
      </c>
      <c r="C36" s="48">
        <f>C35+'Página12'!C36</f>
        <v>945004.43</v>
      </c>
      <c r="D36" s="48">
        <f>D35+'Página12'!D36</f>
        <v>1000288.28</v>
      </c>
      <c r="E36" s="48">
        <f>E35+'Página12'!E36</f>
        <v>945004.43</v>
      </c>
      <c r="F36" s="48">
        <f>F35+'Página12'!F36</f>
        <v>897754.17</v>
      </c>
      <c r="G36" s="48">
        <f>G35+'Página12'!G36</f>
        <v>722129.25</v>
      </c>
      <c r="H36" s="48">
        <f>H35+'Página12'!H36</f>
        <v>642509.41</v>
      </c>
      <c r="I36" s="48">
        <f>I35+'Página12'!I36</f>
        <v>684569.04</v>
      </c>
      <c r="J36" s="48">
        <f>J35+'Página12'!J36</f>
        <v>642509.41</v>
      </c>
      <c r="K36" s="48">
        <f>K35+'Página12'!K36</f>
        <v>612021.15</v>
      </c>
    </row>
    <row r="37">
      <c r="A37" s="34">
        <v>43435.0</v>
      </c>
      <c r="B37" s="48">
        <f>B36+'Página12'!B37</f>
        <v>1128682.54</v>
      </c>
      <c r="C37" s="48">
        <f>C36+'Página12'!C37</f>
        <v>1008230.23</v>
      </c>
      <c r="D37" s="48">
        <f>D36+'Página12'!D37</f>
        <v>1067543.7</v>
      </c>
      <c r="E37" s="48">
        <f>E36+'Página12'!E37</f>
        <v>1008230.23</v>
      </c>
      <c r="F37" s="48">
        <f>F36+'Página12'!F37</f>
        <v>957818.68</v>
      </c>
      <c r="G37" s="48">
        <f>G36+'Página12'!G37</f>
        <v>774196.29</v>
      </c>
      <c r="H37" s="48">
        <f>H36+'Página12'!H37</f>
        <v>685334.07</v>
      </c>
      <c r="I37" s="48">
        <f>I36+'Página12'!I37</f>
        <v>730496.16</v>
      </c>
      <c r="J37" s="48">
        <f>J36+'Página12'!J37</f>
        <v>685334.07</v>
      </c>
      <c r="K37" s="48">
        <f>K36+'Página12'!K37</f>
        <v>652805.99</v>
      </c>
    </row>
    <row r="38">
      <c r="A38" s="34">
        <v>43466.0</v>
      </c>
      <c r="B38" s="48">
        <f>B37+'Página12'!B38</f>
        <v>1162480.96</v>
      </c>
      <c r="C38" s="48">
        <f>C37+'Página12'!C38</f>
        <v>1037040.41</v>
      </c>
      <c r="D38" s="48">
        <f>D37+'Página12'!D38</f>
        <v>1097547.32</v>
      </c>
      <c r="E38" s="48">
        <f>E37+'Página12'!E38</f>
        <v>1037040.41</v>
      </c>
      <c r="F38" s="48">
        <f>F37+'Página12'!F38</f>
        <v>985188.35</v>
      </c>
      <c r="G38" s="48">
        <f>G37+'Página12'!G38</f>
        <v>797392.03</v>
      </c>
      <c r="H38" s="48">
        <f>H37+'Página12'!H38</f>
        <v>704793.2</v>
      </c>
      <c r="I38" s="48">
        <f>I37+'Página12'!I38</f>
        <v>750940.68</v>
      </c>
      <c r="J38" s="48">
        <f>J37+'Página12'!J38</f>
        <v>704793.2</v>
      </c>
      <c r="K38" s="48">
        <f>K37+'Página12'!K38</f>
        <v>671335.63</v>
      </c>
    </row>
    <row r="39">
      <c r="A39" s="34">
        <v>43497.0</v>
      </c>
      <c r="B39" s="48">
        <f>B38+'Página12'!B39</f>
        <v>1196279.38</v>
      </c>
      <c r="C39" s="48">
        <f>C38+'Página12'!C39</f>
        <v>1065850.59</v>
      </c>
      <c r="D39" s="48">
        <f>D38+'Página12'!D39</f>
        <v>1127550.94</v>
      </c>
      <c r="E39" s="48">
        <f>E38+'Página12'!E39</f>
        <v>1065850.59</v>
      </c>
      <c r="F39" s="48">
        <f>F38+'Página12'!F39</f>
        <v>1012558.02</v>
      </c>
      <c r="G39" s="48">
        <f>G38+'Página12'!G39</f>
        <v>820587.77</v>
      </c>
      <c r="H39" s="48">
        <f>H38+'Página12'!H39</f>
        <v>724252.33</v>
      </c>
      <c r="I39" s="48">
        <f>I38+'Página12'!I39</f>
        <v>771385.2</v>
      </c>
      <c r="J39" s="48">
        <f>J38+'Página12'!J39</f>
        <v>724252.33</v>
      </c>
      <c r="K39" s="48">
        <f>K38+'Página12'!K39</f>
        <v>689865.27</v>
      </c>
    </row>
    <row r="40">
      <c r="A40" s="34">
        <v>43525.0</v>
      </c>
      <c r="B40" s="48">
        <f>B39+'Página12'!B40</f>
        <v>1230077.8</v>
      </c>
      <c r="C40" s="48">
        <f>C39+'Página12'!C40</f>
        <v>1094660.77</v>
      </c>
      <c r="D40" s="48">
        <f>D39+'Página12'!D40</f>
        <v>1157554.56</v>
      </c>
      <c r="E40" s="48">
        <f>E39+'Página12'!E40</f>
        <v>1094660.77</v>
      </c>
      <c r="F40" s="48">
        <f>F39+'Página12'!F40</f>
        <v>1039927.69</v>
      </c>
      <c r="G40" s="48">
        <f>G39+'Página12'!G40</f>
        <v>843783.51</v>
      </c>
      <c r="H40" s="48">
        <f>H39+'Página12'!H40</f>
        <v>743711.46</v>
      </c>
      <c r="I40" s="48">
        <f>I39+'Página12'!I40</f>
        <v>791829.72</v>
      </c>
      <c r="J40" s="48">
        <f>J39+'Página12'!J40</f>
        <v>743711.46</v>
      </c>
      <c r="K40" s="48">
        <f>K39+'Página12'!K40</f>
        <v>708394.91</v>
      </c>
    </row>
    <row r="41">
      <c r="A41" s="34">
        <v>43556.0</v>
      </c>
      <c r="B41" s="48">
        <f>B40+'Página12'!B41</f>
        <v>1263876.22</v>
      </c>
      <c r="C41" s="48">
        <f>C40+'Página12'!C41</f>
        <v>1123470.95</v>
      </c>
      <c r="D41" s="48">
        <f>D40+'Página12'!D41</f>
        <v>1187558.18</v>
      </c>
      <c r="E41" s="48">
        <f>E40+'Página12'!E41</f>
        <v>1123470.95</v>
      </c>
      <c r="F41" s="48">
        <f>F40+'Página12'!F41</f>
        <v>1067297.36</v>
      </c>
      <c r="G41" s="48">
        <f>G40+'Página12'!G41</f>
        <v>866979.25</v>
      </c>
      <c r="H41" s="48">
        <f>H40+'Página12'!H41</f>
        <v>763170.59</v>
      </c>
      <c r="I41" s="48">
        <f>I40+'Página12'!I41</f>
        <v>812274.24</v>
      </c>
      <c r="J41" s="48">
        <f>J40+'Página12'!J41</f>
        <v>763170.59</v>
      </c>
      <c r="K41" s="48">
        <f>K40+'Página12'!K41</f>
        <v>726924.55</v>
      </c>
    </row>
    <row r="42">
      <c r="A42" s="34">
        <v>43586.0</v>
      </c>
      <c r="B42" s="48">
        <f>B41+'Página12'!B42</f>
        <v>1297674.64</v>
      </c>
      <c r="C42" s="48">
        <f>C41+'Página12'!C42</f>
        <v>1152281.13</v>
      </c>
      <c r="D42" s="48">
        <f>D41+'Página12'!D42</f>
        <v>1217561.8</v>
      </c>
      <c r="E42" s="48">
        <f>E41+'Página12'!E42</f>
        <v>1152281.13</v>
      </c>
      <c r="F42" s="48">
        <f>F41+'Página12'!F42</f>
        <v>1094667.03</v>
      </c>
      <c r="G42" s="48">
        <f>G41+'Página12'!G42</f>
        <v>890174.99</v>
      </c>
      <c r="H42" s="48">
        <f>H41+'Página12'!H42</f>
        <v>782629.72</v>
      </c>
      <c r="I42" s="48">
        <f>I41+'Página12'!I42</f>
        <v>832718.76</v>
      </c>
      <c r="J42" s="48">
        <f>J41+'Página12'!J42</f>
        <v>782629.72</v>
      </c>
      <c r="K42" s="48">
        <f>K41+'Página12'!K42</f>
        <v>745454.19</v>
      </c>
    </row>
    <row r="43">
      <c r="A43" s="34">
        <v>43617.0</v>
      </c>
      <c r="B43" s="48">
        <f>B42+'Página12'!B43</f>
        <v>1331473.06</v>
      </c>
      <c r="C43" s="48">
        <f>C42+'Página12'!C43</f>
        <v>1181091.31</v>
      </c>
      <c r="D43" s="48">
        <f>D42+'Página12'!D43</f>
        <v>1247565.42</v>
      </c>
      <c r="E43" s="48">
        <f>E42+'Página12'!E43</f>
        <v>1181091.31</v>
      </c>
      <c r="F43" s="48">
        <f>F42+'Página12'!F43</f>
        <v>1122036.7</v>
      </c>
      <c r="G43" s="48">
        <f>G42+'Página12'!G43</f>
        <v>913370.73</v>
      </c>
      <c r="H43" s="48">
        <f>H42+'Página12'!H43</f>
        <v>802088.85</v>
      </c>
      <c r="I43" s="48">
        <f>I42+'Página12'!I43</f>
        <v>853163.28</v>
      </c>
      <c r="J43" s="48">
        <f>J42+'Página12'!J43</f>
        <v>802088.85</v>
      </c>
      <c r="K43" s="48">
        <f>K42+'Página12'!K43</f>
        <v>763983.83</v>
      </c>
    </row>
    <row r="44">
      <c r="A44" s="34">
        <v>43647.0</v>
      </c>
      <c r="B44" s="48">
        <f>B43+'Página12'!B44</f>
        <v>1365271.48</v>
      </c>
      <c r="C44" s="48">
        <f>C43+'Página12'!C44</f>
        <v>1209901.49</v>
      </c>
      <c r="D44" s="48">
        <f>D43+'Página12'!D44</f>
        <v>1277569.04</v>
      </c>
      <c r="E44" s="48">
        <f>E43+'Página12'!E44</f>
        <v>1209901.49</v>
      </c>
      <c r="F44" s="48">
        <f>F43+'Página12'!F44</f>
        <v>1149406.37</v>
      </c>
      <c r="G44" s="48">
        <f>G43+'Página12'!G44</f>
        <v>936566.47</v>
      </c>
      <c r="H44" s="48">
        <f>H43+'Página12'!H44</f>
        <v>821547.98</v>
      </c>
      <c r="I44" s="48">
        <f>I43+'Página12'!I44</f>
        <v>873607.8</v>
      </c>
      <c r="J44" s="48">
        <f>J43+'Página12'!J44</f>
        <v>821547.98</v>
      </c>
      <c r="K44" s="48">
        <f>K43+'Página12'!K44</f>
        <v>782513.47</v>
      </c>
    </row>
    <row r="45">
      <c r="A45" s="34">
        <v>43678.0</v>
      </c>
      <c r="B45" s="48">
        <f>B44+'Página12'!B45</f>
        <v>1399069.9</v>
      </c>
      <c r="C45" s="48">
        <f>C44+'Página12'!C45</f>
        <v>1238711.67</v>
      </c>
      <c r="D45" s="48">
        <f>D44+'Página12'!D45</f>
        <v>1307572.66</v>
      </c>
      <c r="E45" s="48">
        <f>E44+'Página12'!E45</f>
        <v>1238711.67</v>
      </c>
      <c r="F45" s="48">
        <f>F44+'Página12'!F45</f>
        <v>1176776.04</v>
      </c>
      <c r="G45" s="48">
        <f>G44+'Página12'!G45</f>
        <v>959762.21</v>
      </c>
      <c r="H45" s="48">
        <f>H44+'Página12'!H45</f>
        <v>841007.11</v>
      </c>
      <c r="I45" s="48">
        <f>I44+'Página12'!I45</f>
        <v>894052.32</v>
      </c>
      <c r="J45" s="48">
        <f>J44+'Página12'!J45</f>
        <v>841007.11</v>
      </c>
      <c r="K45" s="48">
        <f>K44+'Página12'!K45</f>
        <v>801043.11</v>
      </c>
    </row>
    <row r="46">
      <c r="A46" s="34">
        <v>43709.0</v>
      </c>
      <c r="B46" s="48">
        <f>B45+'Página12'!B46</f>
        <v>1432868.32</v>
      </c>
      <c r="C46" s="48">
        <f>C45+'Página12'!C46</f>
        <v>1267521.85</v>
      </c>
      <c r="D46" s="48">
        <f>D45+'Página12'!D46</f>
        <v>1337576.28</v>
      </c>
      <c r="E46" s="48">
        <f>E45+'Página12'!E46</f>
        <v>1267521.85</v>
      </c>
      <c r="F46" s="48">
        <f>F45+'Página12'!F46</f>
        <v>1204145.71</v>
      </c>
      <c r="G46" s="48">
        <f>G45+'Página12'!G46</f>
        <v>982957.95</v>
      </c>
      <c r="H46" s="48">
        <f>H45+'Página12'!H46</f>
        <v>860466.24</v>
      </c>
      <c r="I46" s="48">
        <f>I45+'Página12'!I46</f>
        <v>914496.84</v>
      </c>
      <c r="J46" s="48">
        <f>J45+'Página12'!J46</f>
        <v>860466.24</v>
      </c>
      <c r="K46" s="48">
        <f>K45+'Página12'!K46</f>
        <v>819572.75</v>
      </c>
    </row>
    <row r="47">
      <c r="A47" s="34">
        <v>43739.0</v>
      </c>
      <c r="B47" s="48">
        <f>B46+'Página12'!B47</f>
        <v>1466666.74</v>
      </c>
      <c r="C47" s="48">
        <f>C46+'Página12'!C47</f>
        <v>1296332.03</v>
      </c>
      <c r="D47" s="48">
        <f>D46+'Página12'!D47</f>
        <v>1367579.9</v>
      </c>
      <c r="E47" s="48">
        <f>E46+'Página12'!E47</f>
        <v>1296332.03</v>
      </c>
      <c r="F47" s="48">
        <f>F46+'Página12'!F47</f>
        <v>1231515.38</v>
      </c>
      <c r="G47" s="48">
        <f>G46+'Página12'!G47</f>
        <v>1006153.69</v>
      </c>
      <c r="H47" s="48">
        <f>H46+'Página12'!H47</f>
        <v>879925.37</v>
      </c>
      <c r="I47" s="48">
        <f>I46+'Página12'!I47</f>
        <v>934941.36</v>
      </c>
      <c r="J47" s="48">
        <f>J46+'Página12'!J47</f>
        <v>879925.37</v>
      </c>
      <c r="K47" s="48">
        <f>K46+'Página12'!K47</f>
        <v>838102.39</v>
      </c>
    </row>
    <row r="48">
      <c r="A48" s="34">
        <v>43770.0</v>
      </c>
      <c r="B48" s="48">
        <f>B47+'Página12'!B48</f>
        <v>1500465.16</v>
      </c>
      <c r="C48" s="48">
        <f>C47+'Página12'!C48</f>
        <v>1325142.21</v>
      </c>
      <c r="D48" s="48">
        <f>D47+'Página12'!D48</f>
        <v>1397583.52</v>
      </c>
      <c r="E48" s="48">
        <f>E47+'Página12'!E48</f>
        <v>1325142.21</v>
      </c>
      <c r="F48" s="48">
        <f>F47+'Página12'!F48</f>
        <v>1258885.05</v>
      </c>
      <c r="G48" s="48">
        <f>G47+'Página12'!G48</f>
        <v>1029349.43</v>
      </c>
      <c r="H48" s="48">
        <f>H47+'Página12'!H48</f>
        <v>899384.5</v>
      </c>
      <c r="I48" s="48">
        <f>I47+'Página12'!I48</f>
        <v>955385.88</v>
      </c>
      <c r="J48" s="48">
        <f>J47+'Página12'!J48</f>
        <v>899384.5</v>
      </c>
      <c r="K48" s="48">
        <f>K47+'Página12'!K48</f>
        <v>856632.03</v>
      </c>
    </row>
    <row r="49">
      <c r="A49" s="34">
        <v>43800.0</v>
      </c>
      <c r="B49" s="48">
        <f>B48+'Página12'!B49</f>
        <v>1579316.87</v>
      </c>
      <c r="C49" s="48">
        <f>C48+'Página12'!C49</f>
        <v>1392356.36</v>
      </c>
      <c r="D49" s="48">
        <f>D48+'Página12'!D49</f>
        <v>1467581.97</v>
      </c>
      <c r="E49" s="48">
        <f>E48+'Página12'!E49</f>
        <v>1392356.36</v>
      </c>
      <c r="F49" s="48">
        <f>F48+'Página12'!F49</f>
        <v>1322738.49</v>
      </c>
      <c r="G49" s="48">
        <f>G48+'Página12'!G49</f>
        <v>1083465.09</v>
      </c>
      <c r="H49" s="48">
        <f>H48+'Página12'!H49</f>
        <v>944782.65</v>
      </c>
      <c r="I49" s="48">
        <f>I48+'Página12'!I49</f>
        <v>1003082.94</v>
      </c>
      <c r="J49" s="48">
        <f>J48+'Página12'!J49</f>
        <v>944782.65</v>
      </c>
      <c r="K49" s="48">
        <f>K48+'Página12'!K49</f>
        <v>899861.69</v>
      </c>
    </row>
    <row r="50">
      <c r="A50" s="34">
        <v>43831.0</v>
      </c>
      <c r="B50" s="48">
        <f>B49+'Página12'!B50</f>
        <v>1613685.57</v>
      </c>
      <c r="C50" s="48">
        <f>C49+'Página12'!C50</f>
        <v>1421166.54</v>
      </c>
      <c r="D50" s="48">
        <f>D49+'Página12'!D50</f>
        <v>1497585.59</v>
      </c>
      <c r="E50" s="48">
        <f>E49+'Página12'!E50</f>
        <v>1421166.54</v>
      </c>
      <c r="F50" s="48">
        <f>F49+'Página12'!F50</f>
        <v>1350108.16</v>
      </c>
      <c r="G50" s="48">
        <f>G49+'Página12'!G50</f>
        <v>1107074.29</v>
      </c>
      <c r="H50" s="48">
        <f>H49+'Página12'!H50</f>
        <v>964241.78</v>
      </c>
      <c r="I50" s="48">
        <f>I49+'Página12'!I50</f>
        <v>1023527.46</v>
      </c>
      <c r="J50" s="48">
        <f>J49+'Página12'!J50</f>
        <v>964241.78</v>
      </c>
      <c r="K50" s="48">
        <f>K49+'Página12'!K50</f>
        <v>918391.33</v>
      </c>
    </row>
    <row r="51">
      <c r="A51" s="34">
        <v>43862.0</v>
      </c>
      <c r="B51" s="48">
        <f>B50+'Página12'!B51</f>
        <v>1648054.27</v>
      </c>
      <c r="C51" s="48">
        <f>C50+'Página12'!C51</f>
        <v>1449976.72</v>
      </c>
      <c r="D51" s="48">
        <f>D50+'Página12'!D51</f>
        <v>1527589.21</v>
      </c>
      <c r="E51" s="48">
        <f>E50+'Página12'!E51</f>
        <v>1449976.72</v>
      </c>
      <c r="F51" s="48">
        <f>F50+'Página12'!F51</f>
        <v>1377477.83</v>
      </c>
      <c r="G51" s="48">
        <f>G50+'Página12'!G51</f>
        <v>1130683.49</v>
      </c>
      <c r="H51" s="48">
        <f>H50+'Página12'!H51</f>
        <v>983700.91</v>
      </c>
      <c r="I51" s="48">
        <f>I50+'Página12'!I51</f>
        <v>1043971.98</v>
      </c>
      <c r="J51" s="48">
        <f>J50+'Página12'!J51</f>
        <v>983700.91</v>
      </c>
      <c r="K51" s="48">
        <f>K50+'Página12'!K51</f>
        <v>936920.97</v>
      </c>
    </row>
    <row r="52">
      <c r="A52" s="34">
        <v>43891.0</v>
      </c>
      <c r="B52" s="48">
        <f>B51+'Página12'!B52</f>
        <v>1682684.6</v>
      </c>
      <c r="C52" s="48">
        <f>C51+'Página12'!C52</f>
        <v>1478786.9</v>
      </c>
      <c r="D52" s="48">
        <f>D51+'Página12'!D52</f>
        <v>1557592.83</v>
      </c>
      <c r="E52" s="48">
        <f>E51+'Página12'!E52</f>
        <v>1478786.9</v>
      </c>
      <c r="F52" s="48">
        <f>F51+'Página12'!F52</f>
        <v>1404847.5</v>
      </c>
      <c r="G52" s="48">
        <f>G51+'Página12'!G52</f>
        <v>1153553.39</v>
      </c>
      <c r="H52" s="48">
        <f>H51+'Página12'!H52</f>
        <v>1002143.68</v>
      </c>
      <c r="I52" s="48">
        <f>I51+'Página12'!I52</f>
        <v>1063487.52</v>
      </c>
      <c r="J52" s="48">
        <f>J51+'Página12'!J52</f>
        <v>1002143.68</v>
      </c>
      <c r="K52" s="48">
        <f>K51+'Página12'!K52</f>
        <v>954517.8</v>
      </c>
    </row>
    <row r="53">
      <c r="A53" s="34">
        <v>43922.0</v>
      </c>
      <c r="B53" s="48">
        <f>B52+'Página12'!B53</f>
        <v>1717314.93</v>
      </c>
      <c r="C53" s="48">
        <f>C52+'Página12'!C53</f>
        <v>1507597.08</v>
      </c>
      <c r="D53" s="48">
        <f>D52+'Página12'!D53</f>
        <v>1587596.45</v>
      </c>
      <c r="E53" s="48">
        <f>E52+'Página12'!E53</f>
        <v>1507597.08</v>
      </c>
      <c r="F53" s="48">
        <f>F52+'Página12'!F53</f>
        <v>1432217.17</v>
      </c>
      <c r="G53" s="48">
        <f>G52+'Página12'!G53</f>
        <v>1176423.29</v>
      </c>
      <c r="H53" s="48">
        <f>H52+'Página12'!H53</f>
        <v>1020586.45</v>
      </c>
      <c r="I53" s="48">
        <f>I52+'Página12'!I53</f>
        <v>1083003.06</v>
      </c>
      <c r="J53" s="48">
        <f>J52+'Página12'!J53</f>
        <v>1020586.45</v>
      </c>
      <c r="K53" s="48">
        <f>K52+'Página12'!K53</f>
        <v>972114.63</v>
      </c>
    </row>
    <row r="54">
      <c r="A54" s="34">
        <v>43952.0</v>
      </c>
      <c r="B54" s="48">
        <f>B53+'Página12'!B54</f>
        <v>1751945.26</v>
      </c>
      <c r="C54" s="48">
        <f>C53+'Página12'!C54</f>
        <v>1536407.26</v>
      </c>
      <c r="D54" s="48">
        <f>D53+'Página12'!D54</f>
        <v>1617600.07</v>
      </c>
      <c r="E54" s="48">
        <f>E53+'Página12'!E54</f>
        <v>1536407.26</v>
      </c>
      <c r="F54" s="48">
        <f>F53+'Página12'!F54</f>
        <v>1459586.84</v>
      </c>
      <c r="G54" s="48">
        <f>G53+'Página12'!G54</f>
        <v>1199293.19</v>
      </c>
      <c r="H54" s="48">
        <f>H53+'Página12'!H54</f>
        <v>1039029.22</v>
      </c>
      <c r="I54" s="48">
        <f>I53+'Página12'!I54</f>
        <v>1102518.6</v>
      </c>
      <c r="J54" s="48">
        <f>J53+'Página12'!J54</f>
        <v>1039029.22</v>
      </c>
      <c r="K54" s="48">
        <f>K53+'Página12'!K54</f>
        <v>989711.46</v>
      </c>
    </row>
    <row r="55">
      <c r="A55" s="34">
        <v>43983.0</v>
      </c>
      <c r="B55" s="48">
        <f>B54+'Página12'!B55</f>
        <v>1786575.59</v>
      </c>
      <c r="C55" s="48">
        <f>C54+'Página12'!C55</f>
        <v>1565217.44</v>
      </c>
      <c r="D55" s="48">
        <f>D54+'Página12'!D55</f>
        <v>1647603.69</v>
      </c>
      <c r="E55" s="48">
        <f>E54+'Página12'!E55</f>
        <v>1565217.44</v>
      </c>
      <c r="F55" s="48">
        <f>F54+'Página12'!F55</f>
        <v>1486956.51</v>
      </c>
      <c r="G55" s="48">
        <f>G54+'Página12'!G55</f>
        <v>1222163.09</v>
      </c>
      <c r="H55" s="48">
        <f>H54+'Página12'!H55</f>
        <v>1057471.99</v>
      </c>
      <c r="I55" s="48">
        <f>I54+'Página12'!I55</f>
        <v>1122034.14</v>
      </c>
      <c r="J55" s="48">
        <f>J54+'Página12'!J55</f>
        <v>1057471.99</v>
      </c>
      <c r="K55" s="48">
        <f>K54+'Página12'!K55</f>
        <v>1007308.29</v>
      </c>
    </row>
    <row r="56">
      <c r="A56" s="34">
        <v>44013.0</v>
      </c>
      <c r="B56" s="48">
        <f>B55+'Página12'!B56</f>
        <v>1821205.92</v>
      </c>
      <c r="C56" s="48">
        <f>C55+'Página12'!C56</f>
        <v>1594027.62</v>
      </c>
      <c r="D56" s="48">
        <f>D55+'Página12'!D56</f>
        <v>1677607.31</v>
      </c>
      <c r="E56" s="48">
        <f>E55+'Página12'!E56</f>
        <v>1594027.62</v>
      </c>
      <c r="F56" s="48">
        <f>F55+'Página12'!F56</f>
        <v>1514326.18</v>
      </c>
      <c r="G56" s="48">
        <f>G55+'Página12'!G56</f>
        <v>1245032.99</v>
      </c>
      <c r="H56" s="48">
        <f>H55+'Página12'!H56</f>
        <v>1075914.76</v>
      </c>
      <c r="I56" s="48">
        <f>I55+'Página12'!I56</f>
        <v>1141549.68</v>
      </c>
      <c r="J56" s="48">
        <f>J55+'Página12'!J56</f>
        <v>1075914.76</v>
      </c>
      <c r="K56" s="48">
        <f>K55+'Página12'!K56</f>
        <v>1024905.12</v>
      </c>
    </row>
    <row r="57">
      <c r="A57" s="34">
        <v>44044.0</v>
      </c>
      <c r="B57" s="48">
        <f>B56+'Página12'!B57</f>
        <v>1855836.25</v>
      </c>
      <c r="C57" s="48">
        <f>C56+'Página12'!C57</f>
        <v>1622837.8</v>
      </c>
      <c r="D57" s="48">
        <f>D56+'Página12'!D57</f>
        <v>1707610.93</v>
      </c>
      <c r="E57" s="48">
        <f>E56+'Página12'!E57</f>
        <v>1622837.8</v>
      </c>
      <c r="F57" s="48">
        <f>F56+'Página12'!F57</f>
        <v>1541695.85</v>
      </c>
      <c r="G57" s="48">
        <f>G56+'Página12'!G57</f>
        <v>1267902.89</v>
      </c>
      <c r="H57" s="48">
        <f>H56+'Página12'!H57</f>
        <v>1094357.53</v>
      </c>
      <c r="I57" s="48">
        <f>I56+'Página12'!I57</f>
        <v>1161065.22</v>
      </c>
      <c r="J57" s="48">
        <f>J56+'Página12'!J57</f>
        <v>1094357.53</v>
      </c>
      <c r="K57" s="48">
        <f>K56+'Página12'!K57</f>
        <v>1042501.95</v>
      </c>
    </row>
    <row r="58">
      <c r="A58" s="34">
        <v>44075.0</v>
      </c>
      <c r="B58" s="48">
        <f>B57+'Página12'!B58</f>
        <v>1890466.58</v>
      </c>
      <c r="C58" s="48">
        <f>C57+'Página12'!C58</f>
        <v>1651647.98</v>
      </c>
      <c r="D58" s="48">
        <f>D57+'Página12'!D58</f>
        <v>1737614.55</v>
      </c>
      <c r="E58" s="48">
        <f>E57+'Página12'!E58</f>
        <v>1651647.98</v>
      </c>
      <c r="F58" s="48">
        <f>F57+'Página12'!F58</f>
        <v>1569065.52</v>
      </c>
      <c r="G58" s="48">
        <f>G57+'Página12'!G58</f>
        <v>1290772.79</v>
      </c>
      <c r="H58" s="48">
        <f>H57+'Página12'!H58</f>
        <v>1112800.3</v>
      </c>
      <c r="I58" s="48">
        <f>I57+'Página12'!I58</f>
        <v>1180580.76</v>
      </c>
      <c r="J58" s="48">
        <f>J57+'Página12'!J58</f>
        <v>1112800.3</v>
      </c>
      <c r="K58" s="48">
        <f>K57+'Página12'!K58</f>
        <v>1060098.78</v>
      </c>
    </row>
    <row r="59">
      <c r="A59" s="34">
        <v>44105.0</v>
      </c>
      <c r="B59" s="48">
        <f>B58+'Página12'!B59</f>
        <v>1925096.91</v>
      </c>
      <c r="C59" s="48">
        <f>C58+'Página12'!C59</f>
        <v>1680458.16</v>
      </c>
      <c r="D59" s="48">
        <f>D58+'Página12'!D59</f>
        <v>1767618.17</v>
      </c>
      <c r="E59" s="48">
        <f>E58+'Página12'!E59</f>
        <v>1680458.16</v>
      </c>
      <c r="F59" s="48">
        <f>F58+'Página12'!F59</f>
        <v>1596435.19</v>
      </c>
      <c r="G59" s="48">
        <f>G58+'Página12'!G59</f>
        <v>1313642.69</v>
      </c>
      <c r="H59" s="48">
        <f>H58+'Página12'!H59</f>
        <v>1131243.07</v>
      </c>
      <c r="I59" s="48">
        <f>I58+'Página12'!I59</f>
        <v>1200096.3</v>
      </c>
      <c r="J59" s="48">
        <f>J58+'Página12'!J59</f>
        <v>1131243.07</v>
      </c>
      <c r="K59" s="48">
        <f>K58+'Página12'!K59</f>
        <v>1077695.61</v>
      </c>
    </row>
    <row r="60">
      <c r="A60" s="34">
        <v>44136.0</v>
      </c>
      <c r="B60" s="48">
        <f>B59+'Página12'!B60</f>
        <v>1959727.24</v>
      </c>
      <c r="C60" s="48">
        <f>C59+'Página12'!C60</f>
        <v>1709268.34</v>
      </c>
      <c r="D60" s="48">
        <f>D59+'Página12'!D60</f>
        <v>1797621.79</v>
      </c>
      <c r="E60" s="48">
        <f>E59+'Página12'!E60</f>
        <v>1709268.34</v>
      </c>
      <c r="F60" s="48">
        <f>F59+'Página12'!F60</f>
        <v>1623804.86</v>
      </c>
      <c r="G60" s="48">
        <f>G59+'Página12'!G60</f>
        <v>1336512.59</v>
      </c>
      <c r="H60" s="48">
        <f>H59+'Página12'!H60</f>
        <v>1149685.84</v>
      </c>
      <c r="I60" s="48">
        <f>I59+'Página12'!I60</f>
        <v>1219611.84</v>
      </c>
      <c r="J60" s="48">
        <f>J59+'Página12'!J60</f>
        <v>1149685.84</v>
      </c>
      <c r="K60" s="48">
        <f>K59+'Página12'!K60</f>
        <v>1095292.44</v>
      </c>
    </row>
    <row r="61">
      <c r="A61" s="34">
        <v>44166.0</v>
      </c>
      <c r="B61" s="48">
        <f>B60+'Página12'!B61</f>
        <v>2040519.8</v>
      </c>
      <c r="C61" s="48">
        <f>C60+'Página12'!C61</f>
        <v>1776482.49</v>
      </c>
      <c r="D61" s="48">
        <f>D60+'Página12'!D61</f>
        <v>1867620.24</v>
      </c>
      <c r="E61" s="48">
        <f>E60+'Página12'!E61</f>
        <v>1776482.49</v>
      </c>
      <c r="F61" s="48">
        <f>F60+'Página12'!F61</f>
        <v>1687658.3</v>
      </c>
      <c r="G61" s="48">
        <f>G60+'Página12'!G61</f>
        <v>1389868.07</v>
      </c>
      <c r="H61" s="48">
        <f>H60+'Página12'!H61</f>
        <v>1192712.83</v>
      </c>
      <c r="I61" s="48">
        <f>I60+'Página12'!I61</f>
        <v>1265141.6</v>
      </c>
      <c r="J61" s="48">
        <f>J60+'Página12'!J61</f>
        <v>1192712.83</v>
      </c>
      <c r="K61" s="48">
        <f>K60+'Página12'!K61</f>
        <v>1136345.84</v>
      </c>
    </row>
    <row r="62">
      <c r="A62" s="34">
        <v>44197.0</v>
      </c>
      <c r="B62" s="48">
        <f>B61+'Página12'!B62</f>
        <v>2076458.28</v>
      </c>
      <c r="C62" s="48">
        <f>C61+'Página12'!C62</f>
        <v>1805292.67</v>
      </c>
      <c r="D62" s="48">
        <f>D61+'Página12'!D62</f>
        <v>1897623.86</v>
      </c>
      <c r="E62" s="48">
        <f>E61+'Página12'!E62</f>
        <v>1805292.67</v>
      </c>
      <c r="F62" s="48">
        <f>F61+'Página12'!F62</f>
        <v>1715027.97</v>
      </c>
      <c r="G62" s="48">
        <f>G61+'Página12'!G62</f>
        <v>1413722.02</v>
      </c>
      <c r="H62" s="48">
        <f>H61+'Página12'!H62</f>
        <v>1211191.24</v>
      </c>
      <c r="I62" s="48">
        <f>I61+'Página12'!I62</f>
        <v>1284692.78</v>
      </c>
      <c r="J62" s="48">
        <f>J61+'Página12'!J62</f>
        <v>1211191.24</v>
      </c>
      <c r="K62" s="48">
        <f>K61+'Página12'!K62</f>
        <v>1153978.31</v>
      </c>
    </row>
    <row r="63">
      <c r="A63" s="34">
        <v>44228.0</v>
      </c>
      <c r="B63" s="48">
        <f>B62+'Página12'!B63</f>
        <v>2112396.76</v>
      </c>
      <c r="C63" s="48">
        <f>C62+'Página12'!C63</f>
        <v>1834102.85</v>
      </c>
      <c r="D63" s="48">
        <f>D62+'Página12'!D63</f>
        <v>1927627.48</v>
      </c>
      <c r="E63" s="48">
        <f>E62+'Página12'!E63</f>
        <v>1834102.85</v>
      </c>
      <c r="F63" s="48">
        <f>F62+'Página12'!F63</f>
        <v>1742397.64</v>
      </c>
      <c r="G63" s="48">
        <f>G62+'Página12'!G63</f>
        <v>1437575.97</v>
      </c>
      <c r="H63" s="48">
        <f>H62+'Página12'!H63</f>
        <v>1229669.65</v>
      </c>
      <c r="I63" s="48">
        <f>I62+'Página12'!I63</f>
        <v>1304243.96</v>
      </c>
      <c r="J63" s="48">
        <f>J62+'Página12'!J63</f>
        <v>1229669.65</v>
      </c>
      <c r="K63" s="48">
        <f>K62+'Página12'!K63</f>
        <v>1171610.78</v>
      </c>
    </row>
    <row r="64">
      <c r="A64" s="34">
        <v>44256.0</v>
      </c>
      <c r="B64" s="48">
        <f>B63+'Página12'!B64</f>
        <v>2148335.24</v>
      </c>
      <c r="C64" s="48">
        <f>C63+'Página12'!C64</f>
        <v>1862913.03</v>
      </c>
      <c r="D64" s="48">
        <f>D63+'Página12'!D64</f>
        <v>1957631.1</v>
      </c>
      <c r="E64" s="48">
        <f>E63+'Página12'!E64</f>
        <v>1862913.03</v>
      </c>
      <c r="F64" s="48">
        <f>F63+'Página12'!F64</f>
        <v>1769767.31</v>
      </c>
      <c r="G64" s="48">
        <f>G63+'Página12'!G64</f>
        <v>1461429.92</v>
      </c>
      <c r="H64" s="48">
        <f>H63+'Página12'!H64</f>
        <v>1248148.06</v>
      </c>
      <c r="I64" s="48">
        <f>I63+'Página12'!I64</f>
        <v>1323795.14</v>
      </c>
      <c r="J64" s="48">
        <f>J63+'Página12'!J64</f>
        <v>1248148.06</v>
      </c>
      <c r="K64" s="48">
        <f>K63+'Página12'!K64</f>
        <v>1189243.25</v>
      </c>
    </row>
    <row r="65">
      <c r="A65" s="34">
        <v>44287.0</v>
      </c>
      <c r="B65" s="48">
        <f>B64+'Página12'!B65</f>
        <v>2184273.72</v>
      </c>
      <c r="C65" s="48">
        <f>C64+'Página12'!C65</f>
        <v>1891723.21</v>
      </c>
      <c r="D65" s="48">
        <f>D64+'Página12'!D65</f>
        <v>1987634.72</v>
      </c>
      <c r="E65" s="48">
        <f>E64+'Página12'!E65</f>
        <v>1891723.21</v>
      </c>
      <c r="F65" s="48">
        <f>F64+'Página12'!F65</f>
        <v>1797136.98</v>
      </c>
      <c r="G65" s="48">
        <f>G64+'Página12'!G65</f>
        <v>1485283.87</v>
      </c>
      <c r="H65" s="48">
        <f>H64+'Página12'!H65</f>
        <v>1266626.47</v>
      </c>
      <c r="I65" s="48">
        <f>I64+'Página12'!I65</f>
        <v>1343346.32</v>
      </c>
      <c r="J65" s="48">
        <f>J64+'Página12'!J65</f>
        <v>1266626.47</v>
      </c>
      <c r="K65" s="48">
        <f>K64+'Página12'!K65</f>
        <v>1206875.72</v>
      </c>
    </row>
    <row r="66">
      <c r="A66" s="34">
        <v>44317.0</v>
      </c>
      <c r="B66" s="48">
        <f>B65+'Página12'!B66</f>
        <v>2220212.2</v>
      </c>
      <c r="C66" s="48">
        <f>C65+'Página12'!C66</f>
        <v>1920533.39</v>
      </c>
      <c r="D66" s="48">
        <f>D65+'Página12'!D66</f>
        <v>2017638.34</v>
      </c>
      <c r="E66" s="48">
        <f>E65+'Página12'!E66</f>
        <v>1920533.39</v>
      </c>
      <c r="F66" s="48">
        <f>F65+'Página12'!F66</f>
        <v>1824506.65</v>
      </c>
      <c r="G66" s="48">
        <f>G65+'Página12'!G66</f>
        <v>1509137.82</v>
      </c>
      <c r="H66" s="48">
        <f>H65+'Página12'!H66</f>
        <v>1285104.88</v>
      </c>
      <c r="I66" s="48">
        <f>I65+'Página12'!I66</f>
        <v>1362897.5</v>
      </c>
      <c r="J66" s="48">
        <f>J65+'Página12'!J66</f>
        <v>1285104.88</v>
      </c>
      <c r="K66" s="48">
        <f>K65+'Página12'!K66</f>
        <v>1224508.19</v>
      </c>
    </row>
    <row r="67">
      <c r="A67" s="34">
        <v>44348.0</v>
      </c>
      <c r="B67" s="48">
        <f>B66+'Página12'!B67</f>
        <v>2256150.68</v>
      </c>
      <c r="C67" s="48">
        <f>C66+'Página12'!C67</f>
        <v>1949343.57</v>
      </c>
      <c r="D67" s="48">
        <f>D66+'Página12'!D67</f>
        <v>2047641.96</v>
      </c>
      <c r="E67" s="48">
        <f>E66+'Página12'!E67</f>
        <v>1949343.57</v>
      </c>
      <c r="F67" s="48">
        <f>F66+'Página12'!F67</f>
        <v>1851876.32</v>
      </c>
      <c r="G67" s="48">
        <f>G66+'Página12'!G67</f>
        <v>1532991.77</v>
      </c>
      <c r="H67" s="48">
        <f>H66+'Página12'!H67</f>
        <v>1303583.29</v>
      </c>
      <c r="I67" s="48">
        <f>I66+'Página12'!I67</f>
        <v>1382448.68</v>
      </c>
      <c r="J67" s="48">
        <f>J66+'Página12'!J67</f>
        <v>1303583.29</v>
      </c>
      <c r="K67" s="48">
        <f>K66+'Página12'!K67</f>
        <v>1242140.66</v>
      </c>
    </row>
    <row r="68">
      <c r="A68" s="34">
        <v>44378.0</v>
      </c>
      <c r="B68" s="48">
        <f>B67+'Página12'!B68</f>
        <v>2292089.16</v>
      </c>
      <c r="C68" s="48">
        <f>C67+'Página12'!C68</f>
        <v>1978153.75</v>
      </c>
      <c r="D68" s="48">
        <f>D67+'Página12'!D68</f>
        <v>2077645.58</v>
      </c>
      <c r="E68" s="48">
        <f>E67+'Página12'!E68</f>
        <v>1978153.75</v>
      </c>
      <c r="F68" s="48">
        <f>F67+'Página12'!F68</f>
        <v>1879245.99</v>
      </c>
      <c r="G68" s="48">
        <f>G67+'Página12'!G68</f>
        <v>1556845.72</v>
      </c>
      <c r="H68" s="48">
        <f>H67+'Página12'!H68</f>
        <v>1322061.7</v>
      </c>
      <c r="I68" s="48">
        <f>I67+'Página12'!I68</f>
        <v>1401999.86</v>
      </c>
      <c r="J68" s="48">
        <f>J67+'Página12'!J68</f>
        <v>1322061.7</v>
      </c>
      <c r="K68" s="48">
        <f>K67+'Página12'!K68</f>
        <v>1259773.13</v>
      </c>
    </row>
    <row r="69">
      <c r="A69" s="34">
        <v>44409.0</v>
      </c>
      <c r="B69" s="48">
        <f>B68+'Página12'!B69</f>
        <v>2328027.64</v>
      </c>
      <c r="C69" s="48">
        <f>C68+'Página12'!C69</f>
        <v>2006963.93</v>
      </c>
      <c r="D69" s="48">
        <f>D68+'Página12'!D69</f>
        <v>2107649.2</v>
      </c>
      <c r="E69" s="48">
        <f>E68+'Página12'!E69</f>
        <v>2006963.93</v>
      </c>
      <c r="F69" s="48">
        <f>F68+'Página12'!F69</f>
        <v>1906615.66</v>
      </c>
      <c r="G69" s="48">
        <f>G68+'Página12'!G69</f>
        <v>1580699.67</v>
      </c>
      <c r="H69" s="48">
        <f>H68+'Página12'!H69</f>
        <v>1340540.11</v>
      </c>
      <c r="I69" s="48">
        <f>I68+'Página12'!I69</f>
        <v>1421551.04</v>
      </c>
      <c r="J69" s="48">
        <f>J68+'Página12'!J69</f>
        <v>1340540.11</v>
      </c>
      <c r="K69" s="48">
        <f>K68+'Página12'!K69</f>
        <v>1277405.6</v>
      </c>
    </row>
    <row r="70">
      <c r="A70" s="34">
        <v>44440.0</v>
      </c>
      <c r="B70" s="48">
        <f>B69+'Página12'!B70</f>
        <v>2363966.12</v>
      </c>
      <c r="C70" s="48">
        <f>C69+'Página12'!C70</f>
        <v>2035774.11</v>
      </c>
      <c r="D70" s="48">
        <f>D69+'Página12'!D70</f>
        <v>2137652.82</v>
      </c>
      <c r="E70" s="48">
        <f>E69+'Página12'!E70</f>
        <v>2035774.11</v>
      </c>
      <c r="F70" s="48">
        <f>F69+'Página12'!F70</f>
        <v>1933985.33</v>
      </c>
      <c r="G70" s="48">
        <f>G69+'Página12'!G70</f>
        <v>1604553.62</v>
      </c>
      <c r="H70" s="48">
        <f>H69+'Página12'!H70</f>
        <v>1359018.52</v>
      </c>
      <c r="I70" s="48">
        <f>I69+'Página12'!I70</f>
        <v>1441102.22</v>
      </c>
      <c r="J70" s="48">
        <f>J69+'Página12'!J70</f>
        <v>1359018.52</v>
      </c>
      <c r="K70" s="48">
        <f>K69+'Página12'!K70</f>
        <v>1295038.07</v>
      </c>
    </row>
    <row r="71">
      <c r="A71" s="34">
        <v>44470.0</v>
      </c>
      <c r="B71" s="48">
        <f>B70+'Página12'!B71</f>
        <v>2399904.6</v>
      </c>
      <c r="C71" s="48">
        <f>C70+'Página12'!C71</f>
        <v>2064584.29</v>
      </c>
      <c r="D71" s="48">
        <f>D70+'Página12'!D71</f>
        <v>2167656.44</v>
      </c>
      <c r="E71" s="48">
        <f>E70+'Página12'!E71</f>
        <v>2064584.29</v>
      </c>
      <c r="F71" s="48">
        <f>F70+'Página12'!F71</f>
        <v>1961355</v>
      </c>
      <c r="G71" s="48">
        <f>G70+'Página12'!G71</f>
        <v>1628407.57</v>
      </c>
      <c r="H71" s="48">
        <f>H70+'Página12'!H71</f>
        <v>1377496.93</v>
      </c>
      <c r="I71" s="48">
        <f>I70+'Página12'!I71</f>
        <v>1460653.4</v>
      </c>
      <c r="J71" s="48">
        <f>J70+'Página12'!J71</f>
        <v>1377496.93</v>
      </c>
      <c r="K71" s="48">
        <f>K70+'Página12'!K71</f>
        <v>1312670.54</v>
      </c>
    </row>
    <row r="72">
      <c r="A72" s="34">
        <v>44501.0</v>
      </c>
      <c r="B72" s="48">
        <f>B71+'Página12'!B72</f>
        <v>2435843.08</v>
      </c>
      <c r="C72" s="48">
        <f>C71+'Página12'!C72</f>
        <v>2093394.47</v>
      </c>
      <c r="D72" s="48">
        <f>D71+'Página12'!D72</f>
        <v>2197660.06</v>
      </c>
      <c r="E72" s="48">
        <f>E71+'Página12'!E72</f>
        <v>2093394.47</v>
      </c>
      <c r="F72" s="48">
        <f>F71+'Página12'!F72</f>
        <v>1988724.67</v>
      </c>
      <c r="G72" s="48">
        <f>G71+'Página12'!G72</f>
        <v>1652261.52</v>
      </c>
      <c r="H72" s="48">
        <f>H71+'Página12'!H72</f>
        <v>1395975.34</v>
      </c>
      <c r="I72" s="48">
        <f>I71+'Página12'!I72</f>
        <v>1480204.58</v>
      </c>
      <c r="J72" s="48">
        <f>J71+'Página12'!J72</f>
        <v>1395975.34</v>
      </c>
      <c r="K72" s="48">
        <f>K71+'Página12'!K72</f>
        <v>1330303.01</v>
      </c>
    </row>
    <row r="73">
      <c r="A73" s="34">
        <v>44531.0</v>
      </c>
      <c r="B73" s="48">
        <f>B72+'Página12'!B73</f>
        <v>2519687.55</v>
      </c>
      <c r="C73" s="48">
        <f>C72+'Página12'!C73</f>
        <v>2160608.62</v>
      </c>
      <c r="D73" s="48">
        <f>D72+'Página12'!D73</f>
        <v>2267658.51</v>
      </c>
      <c r="E73" s="48">
        <f>E72+'Página12'!E73</f>
        <v>2160608.62</v>
      </c>
      <c r="F73" s="48">
        <f>F72+'Página12'!F73</f>
        <v>2052578.11</v>
      </c>
      <c r="G73" s="48">
        <f>G72+'Página12'!G73</f>
        <v>1707912.77</v>
      </c>
      <c r="H73" s="48">
        <f>H72+'Página12'!H73</f>
        <v>1439085.46</v>
      </c>
      <c r="I73" s="48">
        <f>I72+'Página12'!I73</f>
        <v>1525817.49</v>
      </c>
      <c r="J73" s="48">
        <f>J72+'Página12'!J73</f>
        <v>1439085.46</v>
      </c>
      <c r="K73" s="48">
        <f>K72+'Página12'!K73</f>
        <v>1371439.56</v>
      </c>
    </row>
    <row r="74">
      <c r="A74" s="34">
        <v>44562.0</v>
      </c>
      <c r="B74" s="48">
        <f>B73+'Página12'!B74</f>
        <v>2558522.2</v>
      </c>
      <c r="C74" s="48">
        <f>C73+'Página12'!C74</f>
        <v>2189418.8</v>
      </c>
      <c r="D74" s="48">
        <f>D73+'Página12'!D74</f>
        <v>2297662.13</v>
      </c>
      <c r="E74" s="48">
        <f>E73+'Página12'!E74</f>
        <v>2189418.8</v>
      </c>
      <c r="F74" s="48">
        <f>F73+'Página12'!F74</f>
        <v>2079947.78</v>
      </c>
      <c r="G74" s="48">
        <f>G73+'Página12'!G74</f>
        <v>1733936.57</v>
      </c>
      <c r="H74" s="48">
        <f>H73+'Página12'!H74</f>
        <v>1457633.99</v>
      </c>
      <c r="I74" s="48">
        <f>I73+'Página12'!I74</f>
        <v>1545438.8</v>
      </c>
      <c r="J74" s="48">
        <f>J73+'Página12'!J74</f>
        <v>1457633.99</v>
      </c>
      <c r="K74" s="48">
        <f>K73+'Página12'!K74</f>
        <v>1389142.16</v>
      </c>
    </row>
    <row r="75">
      <c r="A75" s="34">
        <v>44593.0</v>
      </c>
      <c r="B75" s="48">
        <f>B74+'Página12'!B75</f>
        <v>2597356.85</v>
      </c>
      <c r="C75" s="48">
        <f>C74+'Página12'!C75</f>
        <v>2218228.98</v>
      </c>
      <c r="D75" s="48">
        <f>D74+'Página12'!D75</f>
        <v>2327665.75</v>
      </c>
      <c r="E75" s="48">
        <f>E74+'Página12'!E75</f>
        <v>2218228.98</v>
      </c>
      <c r="F75" s="48">
        <f>F74+'Página12'!F75</f>
        <v>2107317.45</v>
      </c>
      <c r="G75" s="48">
        <f>G74+'Página12'!G75</f>
        <v>1759960.37</v>
      </c>
      <c r="H75" s="48">
        <f>H74+'Página12'!H75</f>
        <v>1476182.52</v>
      </c>
      <c r="I75" s="48">
        <f>I74+'Página12'!I75</f>
        <v>1565060.11</v>
      </c>
      <c r="J75" s="48">
        <f>J74+'Página12'!J75</f>
        <v>1476182.52</v>
      </c>
      <c r="K75" s="48">
        <f>K74+'Página12'!K75</f>
        <v>1406844.76</v>
      </c>
    </row>
    <row r="76">
      <c r="A76" s="34">
        <v>44621.0</v>
      </c>
      <c r="B76" s="48">
        <f>B75+'Página12'!B76</f>
        <v>2636191.5</v>
      </c>
      <c r="C76" s="48">
        <f>C75+'Página12'!C76</f>
        <v>2247039.16</v>
      </c>
      <c r="D76" s="48">
        <f>D75+'Página12'!D76</f>
        <v>2357669.37</v>
      </c>
      <c r="E76" s="48">
        <f>E75+'Página12'!E76</f>
        <v>2247039.16</v>
      </c>
      <c r="F76" s="48">
        <f>F75+'Página12'!F76</f>
        <v>2134687.12</v>
      </c>
      <c r="G76" s="48">
        <f>G75+'Página12'!G76</f>
        <v>1785984.17</v>
      </c>
      <c r="H76" s="48">
        <f>H75+'Página12'!H76</f>
        <v>1494731.05</v>
      </c>
      <c r="I76" s="48">
        <f>I75+'Página12'!I76</f>
        <v>1584681.42</v>
      </c>
      <c r="J76" s="48">
        <f>J75+'Página12'!J76</f>
        <v>1494731.05</v>
      </c>
      <c r="K76" s="48">
        <f>K75+'Página12'!K76</f>
        <v>1424547.36</v>
      </c>
    </row>
    <row r="77">
      <c r="A77" s="34">
        <v>44652.0</v>
      </c>
      <c r="B77" s="48">
        <f>B76+'Página12'!B77</f>
        <v>2675026.15</v>
      </c>
      <c r="C77" s="48">
        <f>C76+'Página12'!C77</f>
        <v>2275849.34</v>
      </c>
      <c r="D77" s="48">
        <f>D76+'Página12'!D77</f>
        <v>2387672.99</v>
      </c>
      <c r="E77" s="48">
        <f>E76+'Página12'!E77</f>
        <v>2275849.34</v>
      </c>
      <c r="F77" s="48">
        <f>F76+'Página12'!F77</f>
        <v>2162056.79</v>
      </c>
      <c r="G77" s="48">
        <f>G76+'Página12'!G77</f>
        <v>1812007.97</v>
      </c>
      <c r="H77" s="48">
        <f>H76+'Página12'!H77</f>
        <v>1513279.58</v>
      </c>
      <c r="I77" s="48">
        <f>I76+'Página12'!I77</f>
        <v>1604302.73</v>
      </c>
      <c r="J77" s="48">
        <f>J76+'Página12'!J77</f>
        <v>1513279.58</v>
      </c>
      <c r="K77" s="48">
        <f>K76+'Página12'!K77</f>
        <v>1442249.96</v>
      </c>
    </row>
    <row r="78">
      <c r="A78" s="34">
        <v>44682.0</v>
      </c>
      <c r="B78" s="48">
        <f>B77+'Página12'!B78</f>
        <v>2713860.8</v>
      </c>
      <c r="C78" s="48">
        <f>C77+'Página12'!C78</f>
        <v>2304659.52</v>
      </c>
      <c r="D78" s="48">
        <f>D77+'Página12'!D78</f>
        <v>2417676.61</v>
      </c>
      <c r="E78" s="48">
        <f>E77+'Página12'!E78</f>
        <v>2304659.52</v>
      </c>
      <c r="F78" s="48">
        <f>F77+'Página12'!F78</f>
        <v>2189426.46</v>
      </c>
      <c r="G78" s="48">
        <f>G77+'Página12'!G78</f>
        <v>1838031.77</v>
      </c>
      <c r="H78" s="48">
        <f>H77+'Página12'!H78</f>
        <v>1531828.11</v>
      </c>
      <c r="I78" s="48">
        <f>I77+'Página12'!I78</f>
        <v>1623924.04</v>
      </c>
      <c r="J78" s="48">
        <f>J77+'Página12'!J78</f>
        <v>1531828.11</v>
      </c>
      <c r="K78" s="48">
        <f>K77+'Página12'!K78</f>
        <v>1459952.56</v>
      </c>
    </row>
    <row r="79">
      <c r="A79" s="34">
        <v>44713.0</v>
      </c>
      <c r="B79" s="48">
        <f>B78+'Página12'!B79</f>
        <v>2752695.45</v>
      </c>
      <c r="C79" s="48">
        <f>C78+'Página12'!C79</f>
        <v>2333469.7</v>
      </c>
      <c r="D79" s="48">
        <f>D78+'Página12'!D79</f>
        <v>2447680.23</v>
      </c>
      <c r="E79" s="48">
        <f>E78+'Página12'!E79</f>
        <v>2333469.7</v>
      </c>
      <c r="F79" s="48">
        <f>F78+'Página12'!F79</f>
        <v>2216796.13</v>
      </c>
      <c r="G79" s="48">
        <f>G78+'Página12'!G79</f>
        <v>1864055.57</v>
      </c>
      <c r="H79" s="48">
        <f>H78+'Página12'!H79</f>
        <v>1550376.64</v>
      </c>
      <c r="I79" s="48">
        <f>I78+'Página12'!I79</f>
        <v>1643545.35</v>
      </c>
      <c r="J79" s="48">
        <f>J78+'Página12'!J79</f>
        <v>1550376.64</v>
      </c>
      <c r="K79" s="48">
        <f>K78+'Página12'!K79</f>
        <v>1477655.16</v>
      </c>
    </row>
    <row r="80">
      <c r="A80" s="34">
        <v>44743.0</v>
      </c>
      <c r="B80" s="48">
        <f>B79+'Página12'!B80</f>
        <v>2791530.1</v>
      </c>
      <c r="C80" s="48">
        <f>C79+'Página12'!C80</f>
        <v>2362279.88</v>
      </c>
      <c r="D80" s="48">
        <f>D79+'Página12'!D80</f>
        <v>2477683.85</v>
      </c>
      <c r="E80" s="48">
        <f>E79+'Página12'!E80</f>
        <v>2362279.88</v>
      </c>
      <c r="F80" s="48">
        <f>F79+'Página12'!F80</f>
        <v>2244165.8</v>
      </c>
      <c r="G80" s="48">
        <f>G79+'Página12'!G80</f>
        <v>1890079.37</v>
      </c>
      <c r="H80" s="48">
        <f>H79+'Página12'!H80</f>
        <v>1568925.17</v>
      </c>
      <c r="I80" s="48">
        <f>I79+'Página12'!I80</f>
        <v>1663166.66</v>
      </c>
      <c r="J80" s="48">
        <f>J79+'Página12'!J80</f>
        <v>1568925.17</v>
      </c>
      <c r="K80" s="48">
        <f>K79+'Página12'!K80</f>
        <v>1495357.76</v>
      </c>
    </row>
    <row r="81">
      <c r="A81" s="34">
        <v>44774.0</v>
      </c>
      <c r="B81" s="48">
        <f>B80+'Página12'!B81</f>
        <v>2830364.75</v>
      </c>
      <c r="C81" s="48">
        <f>C80+'Página12'!C81</f>
        <v>2391090.06</v>
      </c>
      <c r="D81" s="48">
        <f>D80+'Página12'!D81</f>
        <v>2507687.47</v>
      </c>
      <c r="E81" s="48">
        <f>E80+'Página12'!E81</f>
        <v>2391090.06</v>
      </c>
      <c r="F81" s="48">
        <f>F80+'Página12'!F81</f>
        <v>2271535.47</v>
      </c>
      <c r="G81" s="48">
        <f>G80+'Página12'!G81</f>
        <v>1916103.17</v>
      </c>
      <c r="H81" s="48">
        <f>H80+'Página12'!H81</f>
        <v>1587473.7</v>
      </c>
      <c r="I81" s="48">
        <f>I80+'Página12'!I81</f>
        <v>1682787.97</v>
      </c>
      <c r="J81" s="48">
        <f>J80+'Página12'!J81</f>
        <v>1587473.7</v>
      </c>
      <c r="K81" s="48">
        <f>K80+'Página12'!K81</f>
        <v>1513060.36</v>
      </c>
    </row>
    <row r="82">
      <c r="A82" s="34">
        <v>44805.0</v>
      </c>
      <c r="B82" s="48">
        <f>B81+'Página12'!B82</f>
        <v>2869199.4</v>
      </c>
      <c r="C82" s="48">
        <f>C81+'Página12'!C82</f>
        <v>2419900.24</v>
      </c>
      <c r="D82" s="48">
        <f>D81+'Página12'!D82</f>
        <v>2537691.09</v>
      </c>
      <c r="E82" s="48">
        <f>E81+'Página12'!E82</f>
        <v>2419900.24</v>
      </c>
      <c r="F82" s="48">
        <f>F81+'Página12'!F82</f>
        <v>2298905.14</v>
      </c>
      <c r="G82" s="48">
        <f>G81+'Página12'!G82</f>
        <v>1942126.97</v>
      </c>
      <c r="H82" s="48">
        <f>H81+'Página12'!H82</f>
        <v>1606022.23</v>
      </c>
      <c r="I82" s="48">
        <f>I81+'Página12'!I82</f>
        <v>1702409.28</v>
      </c>
      <c r="J82" s="48">
        <f>J81+'Página12'!J82</f>
        <v>1606022.23</v>
      </c>
      <c r="K82" s="48">
        <f>K81+'Página12'!K82</f>
        <v>1530762.96</v>
      </c>
    </row>
    <row r="83">
      <c r="A83" s="34">
        <v>44835.0</v>
      </c>
      <c r="B83" s="48">
        <f>B82+'Página12'!B83</f>
        <v>2908034.05</v>
      </c>
      <c r="C83" s="48">
        <f>C82+'Página12'!C83</f>
        <v>2448710.42</v>
      </c>
      <c r="D83" s="48">
        <f>D82+'Página12'!D83</f>
        <v>2567694.71</v>
      </c>
      <c r="E83" s="48">
        <f>E82+'Página12'!E83</f>
        <v>2448710.42</v>
      </c>
      <c r="F83" s="48">
        <f>F82+'Página12'!F83</f>
        <v>2326274.81</v>
      </c>
      <c r="G83" s="48">
        <f>G82+'Página12'!G83</f>
        <v>1968150.77</v>
      </c>
      <c r="H83" s="48">
        <f>H82+'Página12'!H83</f>
        <v>1624570.76</v>
      </c>
      <c r="I83" s="48">
        <f>I82+'Página12'!I83</f>
        <v>1722030.59</v>
      </c>
      <c r="J83" s="48">
        <f>J82+'Página12'!J83</f>
        <v>1624570.76</v>
      </c>
      <c r="K83" s="48">
        <f>K82+'Página12'!K83</f>
        <v>1548465.56</v>
      </c>
    </row>
    <row r="84">
      <c r="A84" s="34">
        <v>44866.0</v>
      </c>
      <c r="B84" s="48">
        <f>B83+'Página12'!B84</f>
        <v>2946868.7</v>
      </c>
      <c r="C84" s="48">
        <f>C83+'Página12'!C84</f>
        <v>2477520.6</v>
      </c>
      <c r="D84" s="48">
        <f>D83+'Página12'!D84</f>
        <v>2597698.33</v>
      </c>
      <c r="E84" s="48">
        <f>E83+'Página12'!E84</f>
        <v>2477520.6</v>
      </c>
      <c r="F84" s="48">
        <f>F83+'Página12'!F84</f>
        <v>2353644.48</v>
      </c>
      <c r="G84" s="48">
        <f>G83+'Página12'!G84</f>
        <v>1994174.57</v>
      </c>
      <c r="H84" s="48">
        <f>H83+'Página12'!H84</f>
        <v>1643119.29</v>
      </c>
      <c r="I84" s="48">
        <f>I83+'Página12'!I84</f>
        <v>1741651.9</v>
      </c>
      <c r="J84" s="48">
        <f>J83+'Página12'!J84</f>
        <v>1643119.29</v>
      </c>
      <c r="K84" s="48">
        <f>K83+'Página12'!K84</f>
        <v>1566168.16</v>
      </c>
    </row>
    <row r="85">
      <c r="A85" s="34">
        <v>44896.0</v>
      </c>
      <c r="B85" s="48">
        <f>B84+'Página12'!B85</f>
        <v>3037469.94</v>
      </c>
      <c r="C85" s="48">
        <f>C84+'Página12'!C85</f>
        <v>2544734.75</v>
      </c>
      <c r="D85" s="48">
        <f>D84+'Página12'!D85</f>
        <v>2667696.78</v>
      </c>
      <c r="E85" s="48">
        <f>E84+'Página12'!E85</f>
        <v>2544734.75</v>
      </c>
      <c r="F85" s="48">
        <f>F84+'Página12'!F85</f>
        <v>2417497.92</v>
      </c>
      <c r="G85" s="48">
        <f>G84+'Página12'!G85</f>
        <v>2054888.1</v>
      </c>
      <c r="H85" s="48">
        <f>H84+'Página12'!H85</f>
        <v>1686393.02</v>
      </c>
      <c r="I85" s="48">
        <f>I84+'Página12'!I85</f>
        <v>1787428.42</v>
      </c>
      <c r="J85" s="48">
        <f>J84+'Página12'!J85</f>
        <v>1686393.02</v>
      </c>
      <c r="K85" s="48">
        <f>K84+'Página12'!K85</f>
        <v>1607468.32</v>
      </c>
    </row>
    <row r="86">
      <c r="A86" s="34">
        <v>44927.0</v>
      </c>
      <c r="B86" s="48">
        <f>B85+'Página12'!B86</f>
        <v>3076461.21</v>
      </c>
      <c r="C86" s="48">
        <f>C85+'Página12'!C86</f>
        <v>2573544.93</v>
      </c>
      <c r="D86" s="48">
        <f>D85+'Página12'!D86</f>
        <v>2697700.4</v>
      </c>
      <c r="E86" s="48">
        <f>E85+'Página12'!E86</f>
        <v>2573544.93</v>
      </c>
      <c r="F86" s="48">
        <f>F85+'Página12'!F86</f>
        <v>2444867.59</v>
      </c>
      <c r="G86" s="48">
        <f>G85+'Página12'!G86</f>
        <v>2081070.74</v>
      </c>
      <c r="H86" s="48">
        <f>H85+'Página12'!H86</f>
        <v>1704986.84</v>
      </c>
      <c r="I86" s="48">
        <f>I85+'Página12'!I86</f>
        <v>1807095.01</v>
      </c>
      <c r="J86" s="48">
        <f>J85+'Página12'!J86</f>
        <v>1704986.84</v>
      </c>
      <c r="K86" s="48">
        <f>K85+'Página12'!K86</f>
        <v>1625216.2</v>
      </c>
    </row>
    <row r="87">
      <c r="A87" s="34">
        <v>44958.0</v>
      </c>
      <c r="B87" s="48">
        <f>B86+'Página12'!B87</f>
        <v>3115454.79</v>
      </c>
      <c r="C87" s="48">
        <f>C86+'Página12'!C87</f>
        <v>2602355.11</v>
      </c>
      <c r="D87" s="48">
        <f>D86+'Página12'!D87</f>
        <v>2727704.02</v>
      </c>
      <c r="E87" s="48">
        <f>E86+'Página12'!E87</f>
        <v>2602355.11</v>
      </c>
      <c r="F87" s="48">
        <f>F86+'Página12'!F87</f>
        <v>2472237.26</v>
      </c>
      <c r="G87" s="48">
        <f>G86+'Página12'!G87</f>
        <v>2107255.05</v>
      </c>
      <c r="H87" s="48">
        <f>H86+'Página12'!H87</f>
        <v>1723580.66</v>
      </c>
      <c r="I87" s="48">
        <f>I86+'Página12'!I87</f>
        <v>1826761.6</v>
      </c>
      <c r="J87" s="48">
        <f>J86+'Página12'!J87</f>
        <v>1723580.66</v>
      </c>
      <c r="K87" s="48">
        <f>K86+'Página12'!K87</f>
        <v>1642964.08</v>
      </c>
    </row>
    <row r="88">
      <c r="A88" s="34">
        <v>44986.0</v>
      </c>
      <c r="B88" s="48">
        <f>B87+'Página12'!B88</f>
        <v>3154448.37</v>
      </c>
      <c r="C88" s="48">
        <f>C87+'Página12'!C88</f>
        <v>2631165.29</v>
      </c>
      <c r="D88" s="48">
        <f>D87+'Página12'!D88</f>
        <v>2757707.64</v>
      </c>
      <c r="E88" s="48">
        <f>E87+'Página12'!E88</f>
        <v>2631165.29</v>
      </c>
      <c r="F88" s="48">
        <f>F87+'Página12'!F88</f>
        <v>2499606.93</v>
      </c>
      <c r="G88" s="48">
        <f>G87+'Página12'!G88</f>
        <v>2133439.36</v>
      </c>
      <c r="H88" s="48">
        <f>H87+'Página12'!H88</f>
        <v>1742174.48</v>
      </c>
      <c r="I88" s="48">
        <f>I87+'Página12'!I88</f>
        <v>1846428.19</v>
      </c>
      <c r="J88" s="48">
        <f>J87+'Página12'!J88</f>
        <v>1742174.48</v>
      </c>
      <c r="K88" s="48">
        <f>K87+'Página12'!K88</f>
        <v>1660711.96</v>
      </c>
    </row>
    <row r="89">
      <c r="A89" s="34">
        <v>45017.0</v>
      </c>
      <c r="B89" s="48">
        <f>B88+'Página12'!B89</f>
        <v>3195498.43</v>
      </c>
      <c r="C89" s="48">
        <f>C88+'Página12'!C89</f>
        <v>2659975.47</v>
      </c>
      <c r="D89" s="48">
        <f>D88+'Página12'!D89</f>
        <v>2787711.26</v>
      </c>
      <c r="E89" s="48">
        <f>E88+'Página12'!E89</f>
        <v>2659975.47</v>
      </c>
      <c r="F89" s="48">
        <f>F88+'Página12'!F89</f>
        <v>2526976.6</v>
      </c>
      <c r="G89" s="48">
        <f>G88+'Página12'!G89</f>
        <v>2161114.62</v>
      </c>
      <c r="H89" s="48">
        <f>H88+'Página12'!H89</f>
        <v>1760768.3</v>
      </c>
      <c r="I89" s="48">
        <f>I88+'Página12'!I89</f>
        <v>1866094.78</v>
      </c>
      <c r="J89" s="48">
        <f>J88+'Página12'!J89</f>
        <v>1760768.3</v>
      </c>
      <c r="K89" s="48">
        <f>K88+'Página12'!K89</f>
        <v>1678459.84</v>
      </c>
    </row>
    <row r="90">
      <c r="A90" s="34">
        <v>45047.0</v>
      </c>
      <c r="B90" s="48">
        <f>B89+'Página12'!B90</f>
        <v>3236852.11</v>
      </c>
      <c r="C90" s="48">
        <f>C89+'Página12'!C90</f>
        <v>2691378.56</v>
      </c>
      <c r="D90" s="48">
        <f>D89+'Página12'!D90</f>
        <v>2820172.21</v>
      </c>
      <c r="E90" s="48">
        <f>E89+'Página12'!E90</f>
        <v>2691378.56</v>
      </c>
      <c r="F90" s="48">
        <f>F89+'Página12'!F90</f>
        <v>2556809.54</v>
      </c>
      <c r="G90" s="48">
        <f>G89+'Página12'!G90</f>
        <v>2188687.29</v>
      </c>
      <c r="H90" s="48">
        <f>H89+'Página12'!H90</f>
        <v>1780900.61</v>
      </c>
      <c r="I90" s="48">
        <f>I89+'Página12'!I90</f>
        <v>1887220.24</v>
      </c>
      <c r="J90" s="48">
        <f>J89+'Página12'!J90</f>
        <v>1780900.61</v>
      </c>
      <c r="K90" s="48">
        <f>K89+'Página12'!K90</f>
        <v>1697670.07</v>
      </c>
    </row>
    <row r="91">
      <c r="A91" s="34">
        <v>45078.0</v>
      </c>
      <c r="B91" s="48">
        <f>B90+'Página12'!B91</f>
        <v>3278205.79</v>
      </c>
      <c r="C91" s="48">
        <f>C90+'Página12'!C91</f>
        <v>2722781.65</v>
      </c>
      <c r="D91" s="48">
        <f>D90+'Página12'!D91</f>
        <v>2852633.16</v>
      </c>
      <c r="E91" s="48">
        <f>E90+'Página12'!E91</f>
        <v>2722781.65</v>
      </c>
      <c r="F91" s="48">
        <f>F90+'Página12'!F91</f>
        <v>2586642.48</v>
      </c>
      <c r="G91" s="48">
        <f>G90+'Página12'!G91</f>
        <v>2216259.96</v>
      </c>
      <c r="H91" s="48">
        <f>H90+'Página12'!H91</f>
        <v>1801032.92</v>
      </c>
      <c r="I91" s="48">
        <f>I90+'Página12'!I91</f>
        <v>1908345.7</v>
      </c>
      <c r="J91" s="48">
        <f>J90+'Página12'!J91</f>
        <v>1801032.92</v>
      </c>
      <c r="K91" s="48">
        <f>K90+'Página12'!K91</f>
        <v>1716880.3</v>
      </c>
    </row>
    <row r="92">
      <c r="A92" s="34">
        <v>45108.0</v>
      </c>
      <c r="B92" s="48">
        <f>B91+'Página12'!B92</f>
        <v>3319559.47</v>
      </c>
      <c r="C92" s="48">
        <f>C91+'Página12'!C92</f>
        <v>2754184.74</v>
      </c>
      <c r="D92" s="48">
        <f>D91+'Página12'!D92</f>
        <v>2885094.11</v>
      </c>
      <c r="E92" s="48">
        <f>E91+'Página12'!E92</f>
        <v>2754184.74</v>
      </c>
      <c r="F92" s="48">
        <f>F91+'Página12'!F92</f>
        <v>2616475.42</v>
      </c>
      <c r="G92" s="48">
        <f>G91+'Página12'!G92</f>
        <v>2243832.63</v>
      </c>
      <c r="H92" s="48">
        <f>H91+'Página12'!H92</f>
        <v>1821165.23</v>
      </c>
      <c r="I92" s="48">
        <f>I91+'Página12'!I92</f>
        <v>1929471.16</v>
      </c>
      <c r="J92" s="48">
        <f>J91+'Página12'!J92</f>
        <v>1821165.23</v>
      </c>
      <c r="K92" s="48">
        <f>K91+'Página12'!K92</f>
        <v>1736090.53</v>
      </c>
    </row>
    <row r="93">
      <c r="A93" s="34">
        <v>45139.0</v>
      </c>
      <c r="B93" s="48">
        <f>B92+'Página12'!B93</f>
        <v>3360913.15</v>
      </c>
      <c r="C93" s="48">
        <f>C92+'Página12'!C93</f>
        <v>2785587.83</v>
      </c>
      <c r="D93" s="48">
        <f>D92+'Página12'!D93</f>
        <v>2917555.06</v>
      </c>
      <c r="E93" s="48">
        <f>E92+'Página12'!E93</f>
        <v>2785587.83</v>
      </c>
      <c r="F93" s="48">
        <f>F92+'Página12'!F93</f>
        <v>2646308.36</v>
      </c>
      <c r="G93" s="48">
        <f>G92+'Página12'!G93</f>
        <v>2271405.3</v>
      </c>
      <c r="H93" s="48">
        <f>H92+'Página12'!H93</f>
        <v>1841297.54</v>
      </c>
      <c r="I93" s="48">
        <f>I92+'Página12'!I93</f>
        <v>1950596.62</v>
      </c>
      <c r="J93" s="48">
        <f>J92+'Página12'!J93</f>
        <v>1841297.54</v>
      </c>
      <c r="K93" s="48">
        <f>K92+'Página12'!K93</f>
        <v>1755300.76</v>
      </c>
    </row>
    <row r="94">
      <c r="A94" s="34">
        <v>45170.0</v>
      </c>
      <c r="B94" s="48">
        <f>B93+'Página12'!B94</f>
        <v>3402266.83</v>
      </c>
      <c r="C94" s="48">
        <f>C93+'Página12'!C94</f>
        <v>2816990.92</v>
      </c>
      <c r="D94" s="48">
        <f>D93+'Página12'!D94</f>
        <v>2950016.01</v>
      </c>
      <c r="E94" s="48">
        <f>E93+'Página12'!E94</f>
        <v>2816990.92</v>
      </c>
      <c r="F94" s="48">
        <f>F93+'Página12'!F94</f>
        <v>2676141.3</v>
      </c>
      <c r="G94" s="48">
        <f>G93+'Página12'!G94</f>
        <v>2298977.97</v>
      </c>
      <c r="H94" s="48">
        <f>H93+'Página12'!H94</f>
        <v>1861429.85</v>
      </c>
      <c r="I94" s="48">
        <f>I93+'Página12'!I94</f>
        <v>1971722.08</v>
      </c>
      <c r="J94" s="48">
        <f>J93+'Página12'!J94</f>
        <v>1861429.85</v>
      </c>
      <c r="K94" s="48">
        <f>K93+'Página12'!K94</f>
        <v>1774510.99</v>
      </c>
    </row>
    <row r="95">
      <c r="A95" s="34">
        <v>45200.0</v>
      </c>
      <c r="B95" s="48">
        <f>B94+'Página12'!B95</f>
        <v>3443620.51</v>
      </c>
      <c r="C95" s="48">
        <f>C94+'Página12'!C95</f>
        <v>2848394.01</v>
      </c>
      <c r="D95" s="48">
        <f>D94+'Página12'!D95</f>
        <v>2982476.96</v>
      </c>
      <c r="E95" s="48">
        <f>E94+'Página12'!E95</f>
        <v>2848394.01</v>
      </c>
      <c r="F95" s="48">
        <f>F94+'Página12'!F95</f>
        <v>2705974.24</v>
      </c>
      <c r="G95" s="48">
        <f>G94+'Página12'!G95</f>
        <v>2326550.64</v>
      </c>
      <c r="H95" s="48">
        <f>H94+'Página12'!H95</f>
        <v>1881562.16</v>
      </c>
      <c r="I95" s="48">
        <f>I94+'Página12'!I95</f>
        <v>1992847.54</v>
      </c>
      <c r="J95" s="48">
        <f>J94+'Página12'!J95</f>
        <v>1881562.16</v>
      </c>
      <c r="K95" s="48">
        <f>K94+'Página12'!K95</f>
        <v>1793721.22</v>
      </c>
    </row>
    <row r="96">
      <c r="A96" s="34">
        <v>45231.0</v>
      </c>
      <c r="B96" s="48">
        <f>B95+'Página12'!B96</f>
        <v>3484974.19</v>
      </c>
      <c r="C96" s="48">
        <f>C95+'Página12'!C96</f>
        <v>2879797.1</v>
      </c>
      <c r="D96" s="48">
        <f>D95+'Página12'!D96</f>
        <v>3014937.91</v>
      </c>
      <c r="E96" s="48">
        <f>E95+'Página12'!E96</f>
        <v>2879797.1</v>
      </c>
      <c r="F96" s="48">
        <f>F95+'Página12'!F96</f>
        <v>2735807.18</v>
      </c>
      <c r="G96" s="48">
        <f>G95+'Página12'!G96</f>
        <v>2354123.31</v>
      </c>
      <c r="H96" s="48">
        <f>H95+'Página12'!H96</f>
        <v>1901694.47</v>
      </c>
      <c r="I96" s="48">
        <f>I95+'Página12'!I96</f>
        <v>2013973</v>
      </c>
      <c r="J96" s="48">
        <f>J95+'Página12'!J96</f>
        <v>1901694.47</v>
      </c>
      <c r="K96" s="48">
        <f>K95+'Página12'!K96</f>
        <v>1812931.45</v>
      </c>
    </row>
    <row r="97">
      <c r="A97" s="34">
        <v>45261.0</v>
      </c>
      <c r="B97" s="48">
        <f>B96+'Página12'!B97</f>
        <v>3581452.33</v>
      </c>
      <c r="C97" s="48">
        <f>C96+'Página12'!C97</f>
        <v>2953060.52</v>
      </c>
      <c r="D97" s="48">
        <f>D96+'Página12'!D97</f>
        <v>3090669.31</v>
      </c>
      <c r="E97" s="48">
        <f>E96+'Página12'!E97</f>
        <v>2953060.52</v>
      </c>
      <c r="F97" s="48">
        <f>F96+'Página12'!F97</f>
        <v>2805407.43</v>
      </c>
      <c r="G97" s="48">
        <f>G96+'Página12'!G97</f>
        <v>2418450.36</v>
      </c>
      <c r="H97" s="48">
        <f>H96+'Página12'!H97</f>
        <v>1948663.14</v>
      </c>
      <c r="I97" s="48">
        <f>I96+'Página12'!I97</f>
        <v>2063258.7</v>
      </c>
      <c r="J97" s="48">
        <f>J96+'Página12'!J97</f>
        <v>1948663.14</v>
      </c>
      <c r="K97" s="48">
        <f>K96+'Página12'!K97</f>
        <v>1857748.93</v>
      </c>
    </row>
    <row r="98">
      <c r="A98" s="34">
        <v>45292.0</v>
      </c>
      <c r="B98" s="48">
        <f>B97+'Página12'!B98</f>
        <v>3622806.01</v>
      </c>
      <c r="C98" s="48">
        <f>C97+'Página12'!C98</f>
        <v>2984463.61</v>
      </c>
      <c r="D98" s="48">
        <f>D97+'Página12'!D98</f>
        <v>3123130.26</v>
      </c>
      <c r="E98" s="48">
        <f>E97+'Página12'!E98</f>
        <v>2984463.61</v>
      </c>
      <c r="F98" s="48">
        <f>F97+'Página12'!F98</f>
        <v>2835240.37</v>
      </c>
      <c r="G98" s="48">
        <f>G97+'Página12'!G98</f>
        <v>2446053.42</v>
      </c>
      <c r="H98" s="48">
        <f>H97+'Página12'!H98</f>
        <v>1968825.84</v>
      </c>
      <c r="I98" s="48">
        <f>I97+'Página12'!I98</f>
        <v>2084414.55</v>
      </c>
      <c r="J98" s="48">
        <f>J97+'Página12'!J98</f>
        <v>1968825.84</v>
      </c>
      <c r="K98" s="48">
        <f>K97+'Página12'!K98</f>
        <v>1876989.56</v>
      </c>
    </row>
    <row r="99">
      <c r="A99" s="34">
        <v>45323.0</v>
      </c>
      <c r="B99" s="48">
        <f>B98+'Página12'!B99</f>
        <v>3666458.35</v>
      </c>
      <c r="C99" s="48">
        <f>C98+'Página12'!C99</f>
        <v>3015866.7</v>
      </c>
      <c r="D99" s="48">
        <f>D98+'Página12'!D99</f>
        <v>3156941.21</v>
      </c>
      <c r="E99" s="48">
        <f>E98+'Página12'!E99</f>
        <v>3015866.7</v>
      </c>
      <c r="F99" s="48">
        <f>F98+'Página12'!F99</f>
        <v>2865073.31</v>
      </c>
      <c r="G99" s="48">
        <f>G98+'Página12'!G99</f>
        <v>2475334.05</v>
      </c>
      <c r="H99" s="48">
        <f>H98+'Página12'!H99</f>
        <v>1988999.58</v>
      </c>
      <c r="I99" s="48">
        <f>I98+'Página12'!I99</f>
        <v>2106560.19</v>
      </c>
      <c r="J99" s="48">
        <f>J98+'Página12'!J99</f>
        <v>1988999.58</v>
      </c>
      <c r="K99" s="48">
        <f>K98+'Página12'!K99</f>
        <v>1896241.23</v>
      </c>
    </row>
    <row r="100">
      <c r="A100" s="34">
        <v>45352.0</v>
      </c>
      <c r="B100" s="48">
        <f>B99+'Página12'!B100</f>
        <v>3710110.69</v>
      </c>
      <c r="C100" s="48">
        <f>C99+'Página12'!C100</f>
        <v>3047269.79</v>
      </c>
      <c r="D100" s="48">
        <f>D99+'Página12'!D100</f>
        <v>3190752.16</v>
      </c>
      <c r="E100" s="48">
        <f>E99+'Página12'!E100</f>
        <v>3047269.79</v>
      </c>
      <c r="F100" s="48">
        <f>F99+'Página12'!F100</f>
        <v>2894906.25</v>
      </c>
      <c r="G100" s="48">
        <f>G99+'Página12'!G100</f>
        <v>2504614.68</v>
      </c>
      <c r="H100" s="48">
        <f>H99+'Página12'!H100</f>
        <v>2009173.32</v>
      </c>
      <c r="I100" s="48">
        <f>I99+'Página12'!I100</f>
        <v>2128705.83</v>
      </c>
      <c r="J100" s="48">
        <f>J99+'Página12'!J100</f>
        <v>2009173.32</v>
      </c>
      <c r="K100" s="48">
        <f>K99+'Página12'!K100</f>
        <v>1915492.9</v>
      </c>
    </row>
    <row r="101">
      <c r="A101" s="34">
        <v>45383.0</v>
      </c>
      <c r="B101" s="48">
        <f>B100+'Página12'!B101</f>
        <v>3753763.03</v>
      </c>
      <c r="C101" s="48">
        <f>C100+'Página12'!C101</f>
        <v>3078672.88</v>
      </c>
      <c r="D101" s="48">
        <f>D100+'Página12'!D101</f>
        <v>3224563.11</v>
      </c>
      <c r="E101" s="48">
        <f>E100+'Página12'!E101</f>
        <v>3078672.88</v>
      </c>
      <c r="F101" s="48">
        <f>F100+'Página12'!F101</f>
        <v>2924739.19</v>
      </c>
      <c r="G101" s="48">
        <f>G100+'Página12'!G101</f>
        <v>2533895.31</v>
      </c>
      <c r="H101" s="48">
        <f>H100+'Página12'!H101</f>
        <v>2029347.06</v>
      </c>
      <c r="I101" s="48">
        <f>I100+'Página12'!I101</f>
        <v>2150851.47</v>
      </c>
      <c r="J101" s="48">
        <f>J100+'Página12'!J101</f>
        <v>2029347.06</v>
      </c>
      <c r="K101" s="48">
        <f>K100+'Página12'!K101</f>
        <v>1934744.57</v>
      </c>
    </row>
    <row r="102">
      <c r="A102" s="34">
        <v>45413.0</v>
      </c>
      <c r="B102" s="48">
        <f>B101+'Página12'!B102</f>
        <v>3797415.37</v>
      </c>
      <c r="C102" s="48">
        <f>C101+'Página12'!C102</f>
        <v>3110075.97</v>
      </c>
      <c r="D102" s="48">
        <f>D101+'Página12'!D102</f>
        <v>3258374.06</v>
      </c>
      <c r="E102" s="48">
        <f>E101+'Página12'!E102</f>
        <v>3110075.97</v>
      </c>
      <c r="F102" s="48">
        <f>F101+'Página12'!F102</f>
        <v>2954572.13</v>
      </c>
      <c r="G102" s="48">
        <f>G101+'Página12'!G102</f>
        <v>2563175.94</v>
      </c>
      <c r="H102" s="48">
        <f>H101+'Página12'!H102</f>
        <v>2049520.8</v>
      </c>
      <c r="I102" s="48">
        <f>I101+'Página12'!I102</f>
        <v>2172997.11</v>
      </c>
      <c r="J102" s="48">
        <f>J101+'Página12'!J102</f>
        <v>2049520.8</v>
      </c>
      <c r="K102" s="48">
        <f>K101+'Página12'!K102</f>
        <v>1953996.24</v>
      </c>
    </row>
    <row r="103">
      <c r="A103" s="34">
        <v>45444.0</v>
      </c>
      <c r="B103" s="48">
        <f>B102+'Página12'!B103</f>
        <v>3841067.71</v>
      </c>
      <c r="C103" s="48">
        <f>C102+'Página12'!C103</f>
        <v>3141479.06</v>
      </c>
      <c r="D103" s="48">
        <f>D102+'Página12'!D103</f>
        <v>3292185.01</v>
      </c>
      <c r="E103" s="48">
        <f>E102+'Página12'!E103</f>
        <v>3141479.06</v>
      </c>
      <c r="F103" s="48">
        <f>F102+'Página12'!F103</f>
        <v>2984405.07</v>
      </c>
      <c r="G103" s="48">
        <f>G102+'Página12'!G103</f>
        <v>2592456.57</v>
      </c>
      <c r="H103" s="48">
        <f>H102+'Página12'!H103</f>
        <v>2069694.54</v>
      </c>
      <c r="I103" s="48">
        <f>I102+'Página12'!I103</f>
        <v>2195142.75</v>
      </c>
      <c r="J103" s="48">
        <f>J102+'Página12'!J103</f>
        <v>2069694.54</v>
      </c>
      <c r="K103" s="48">
        <f>K102+'Página12'!K103</f>
        <v>1973247.91</v>
      </c>
    </row>
    <row r="104">
      <c r="A104" s="34">
        <v>45474.0</v>
      </c>
      <c r="B104" s="48">
        <f>B103+'Página12'!B104</f>
        <v>3884720.05</v>
      </c>
      <c r="C104" s="48">
        <f>C103+'Página12'!C104</f>
        <v>3172882.15</v>
      </c>
      <c r="D104" s="48">
        <f>D103+'Página12'!D104</f>
        <v>3325995.96</v>
      </c>
      <c r="E104" s="48">
        <f>E103+'Página12'!E104</f>
        <v>3172882.15</v>
      </c>
      <c r="F104" s="48">
        <f>F103+'Página12'!F104</f>
        <v>3014238.01</v>
      </c>
      <c r="G104" s="48">
        <f>G103+'Página12'!G104</f>
        <v>2621737.2</v>
      </c>
      <c r="H104" s="48">
        <f>H103+'Página12'!H104</f>
        <v>2089868.28</v>
      </c>
      <c r="I104" s="48">
        <f>I103+'Página12'!I104</f>
        <v>2217288.39</v>
      </c>
      <c r="J104" s="48">
        <f>J103+'Página12'!J104</f>
        <v>2089868.28</v>
      </c>
      <c r="K104" s="48">
        <f>K103+'Página12'!K104</f>
        <v>1992499.58</v>
      </c>
    </row>
    <row r="105">
      <c r="A105" s="34">
        <v>45505.0</v>
      </c>
      <c r="B105" s="48">
        <f>B104+'Página12'!B105</f>
        <v>3928372.39</v>
      </c>
      <c r="C105" s="48">
        <f>C104+'Página12'!C105</f>
        <v>3204285.24</v>
      </c>
      <c r="D105" s="48">
        <f>D104+'Página12'!D105</f>
        <v>3360256.91</v>
      </c>
      <c r="E105" s="48">
        <f>E104+'Página12'!E105</f>
        <v>3204285.24</v>
      </c>
      <c r="F105" s="48">
        <f>F104+'Página12'!F105</f>
        <v>3044070.95</v>
      </c>
      <c r="G105" s="48">
        <f>G104+'Página12'!G105</f>
        <v>2651017.83</v>
      </c>
      <c r="H105" s="48">
        <f>H104+'Página12'!H105</f>
        <v>2110042.02</v>
      </c>
      <c r="I105" s="48">
        <f>I104+'Página12'!I105</f>
        <v>2239760.28</v>
      </c>
      <c r="J105" s="48">
        <f>J104+'Página12'!J105</f>
        <v>2110042.02</v>
      </c>
      <c r="K105" s="48">
        <f>K104+'Página12'!K105</f>
        <v>2011751.25</v>
      </c>
    </row>
    <row r="106">
      <c r="A106" s="34">
        <v>45536.0</v>
      </c>
      <c r="B106" s="48">
        <f>B105+'Página12'!B106</f>
        <v>3972024.73</v>
      </c>
      <c r="C106" s="48">
        <f>C105+'Página12'!C106</f>
        <v>3235688.33</v>
      </c>
      <c r="D106" s="48">
        <f>D105+'Página12'!D106</f>
        <v>3394517.86</v>
      </c>
      <c r="E106" s="48">
        <f>E105+'Página12'!E106</f>
        <v>3235688.33</v>
      </c>
      <c r="F106" s="48">
        <f>F105+'Página12'!F106</f>
        <v>3073903.89</v>
      </c>
      <c r="G106" s="48">
        <f>G105+'Página12'!G106</f>
        <v>2680298.46</v>
      </c>
      <c r="H106" s="48">
        <f>H105+'Página12'!H106</f>
        <v>2130215.76</v>
      </c>
      <c r="I106" s="48">
        <f>I105+'Página12'!I106</f>
        <v>2262232.17</v>
      </c>
      <c r="J106" s="48">
        <f>J105+'Página12'!J106</f>
        <v>2130215.76</v>
      </c>
      <c r="K106" s="48">
        <f>K105+'Página12'!K106</f>
        <v>2031002.92</v>
      </c>
    </row>
    <row r="107">
      <c r="A107" s="34">
        <v>45566.0</v>
      </c>
      <c r="B107" s="48">
        <f>B106+'Página12'!B107</f>
        <v>4015677.07</v>
      </c>
      <c r="C107" s="48">
        <f>C106+'Página12'!C107</f>
        <v>3267091.42</v>
      </c>
      <c r="D107" s="48">
        <f>D106+'Página12'!D107</f>
        <v>3428778.81</v>
      </c>
      <c r="E107" s="48">
        <f>E106+'Página12'!E107</f>
        <v>3267091.42</v>
      </c>
      <c r="F107" s="48">
        <f>F106+'Página12'!F107</f>
        <v>3103736.83</v>
      </c>
      <c r="G107" s="48">
        <f>G106+'Página12'!G107</f>
        <v>2709579.09</v>
      </c>
      <c r="H107" s="48">
        <f>H106+'Página12'!H107</f>
        <v>2150389.5</v>
      </c>
      <c r="I107" s="48">
        <f>I106+'Página12'!I107</f>
        <v>2284704.06</v>
      </c>
      <c r="J107" s="48">
        <f>J106+'Página12'!J107</f>
        <v>2150389.5</v>
      </c>
      <c r="K107" s="48">
        <f>K106+'Página12'!K107</f>
        <v>2050254.59</v>
      </c>
    </row>
    <row r="108">
      <c r="A108" s="34">
        <v>45597.0</v>
      </c>
      <c r="B108" s="48">
        <f>B107+'Página12'!B108</f>
        <v>4059329.41</v>
      </c>
      <c r="C108" s="48">
        <f>C107+'Página12'!C108</f>
        <v>3298494.51</v>
      </c>
      <c r="D108" s="48">
        <f>D107+'Página12'!D108</f>
        <v>3463039.76</v>
      </c>
      <c r="E108" s="48">
        <f>E107+'Página12'!E108</f>
        <v>3298494.51</v>
      </c>
      <c r="F108" s="48">
        <f>F107+'Página12'!F108</f>
        <v>3133569.77</v>
      </c>
      <c r="G108" s="48">
        <f>G107+'Página12'!G108</f>
        <v>2738859.72</v>
      </c>
      <c r="H108" s="48">
        <f>H107+'Página12'!H108</f>
        <v>2170563.24</v>
      </c>
      <c r="I108" s="48">
        <f>I107+'Página12'!I108</f>
        <v>2307175.95</v>
      </c>
      <c r="J108" s="48">
        <f>J107+'Página12'!J108</f>
        <v>2170563.24</v>
      </c>
      <c r="K108" s="48">
        <f>K107+'Página12'!K108</f>
        <v>2069506.26</v>
      </c>
    </row>
    <row r="109">
      <c r="A109" s="34">
        <v>45627.0</v>
      </c>
      <c r="B109" s="48">
        <f>B108+'Página12'!B109</f>
        <v>4161170.32</v>
      </c>
      <c r="C109" s="48">
        <f>C108+'Página12'!C109</f>
        <v>3371757.93</v>
      </c>
      <c r="D109" s="48">
        <f>D108+'Página12'!D109</f>
        <v>3542970.56</v>
      </c>
      <c r="E109" s="48">
        <f>E108+'Página12'!E109</f>
        <v>3371757.93</v>
      </c>
      <c r="F109" s="48">
        <f>F108+'Página12'!F109</f>
        <v>3203170.02</v>
      </c>
      <c r="G109" s="48">
        <f>G108+'Página12'!G109</f>
        <v>2807171.44</v>
      </c>
      <c r="H109" s="48">
        <f>H108+'Página12'!H109</f>
        <v>2217628.57</v>
      </c>
      <c r="I109" s="48">
        <f>I108+'Página12'!I109</f>
        <v>2359602.87</v>
      </c>
      <c r="J109" s="48">
        <f>J108+'Página12'!J109</f>
        <v>2217628.57</v>
      </c>
      <c r="K109" s="48">
        <f>K108+'Página12'!K109</f>
        <v>2114420.4</v>
      </c>
    </row>
    <row r="110">
      <c r="A110" s="34">
        <v>45658.0</v>
      </c>
      <c r="B110" s="48">
        <f>B109+'Página12'!B110</f>
        <v>4204822.66</v>
      </c>
      <c r="C110" s="48">
        <f>C109+'Página12'!C110</f>
        <v>3406585.4</v>
      </c>
      <c r="D110" s="48">
        <f>D109+'Página12'!D110</f>
        <v>3577231.51</v>
      </c>
      <c r="E110" s="48">
        <f>E109+'Página12'!E110</f>
        <v>3406585.4</v>
      </c>
      <c r="F110" s="48">
        <f>F109+'Página12'!F110</f>
        <v>3236256.12</v>
      </c>
      <c r="G110" s="48">
        <f>G109+'Página12'!G110</f>
        <v>2836452.07</v>
      </c>
      <c r="H110" s="48">
        <f>H109+'Página12'!H110</f>
        <v>2239813.28</v>
      </c>
      <c r="I110" s="48">
        <f>I109+'Página12'!I110</f>
        <v>2382074.76</v>
      </c>
      <c r="J110" s="48">
        <f>J109+'Página12'!J110</f>
        <v>2239813.28</v>
      </c>
      <c r="K110" s="48">
        <f>K109+'Página12'!K110</f>
        <v>2135582.48</v>
      </c>
    </row>
    <row r="111">
      <c r="A111" s="34">
        <v>45689.0</v>
      </c>
      <c r="B111" s="48">
        <f>B110+'Página12'!B111</f>
        <v>4250773.73</v>
      </c>
      <c r="C111" s="48">
        <f>C110+'Página12'!C111</f>
        <v>3441412.87</v>
      </c>
      <c r="D111" s="48">
        <f>D110+'Página12'!D111</f>
        <v>3613292.46</v>
      </c>
      <c r="E111" s="48">
        <f>E110+'Página12'!E111</f>
        <v>3441412.87</v>
      </c>
      <c r="F111" s="48">
        <f>F110+'Página12'!F111</f>
        <v>3269342.22</v>
      </c>
      <c r="G111" s="48">
        <f>G110+'Página12'!G111</f>
        <v>2867399.28</v>
      </c>
      <c r="H111" s="48">
        <f>H110+'Página12'!H111</f>
        <v>2261997.99</v>
      </c>
      <c r="I111" s="48">
        <f>I110+'Página12'!I111</f>
        <v>2405851.65</v>
      </c>
      <c r="J111" s="48">
        <f>J110+'Página12'!J111</f>
        <v>2261997.99</v>
      </c>
      <c r="K111" s="48">
        <f>K110+'Página12'!K111</f>
        <v>2156744.56</v>
      </c>
    </row>
    <row r="112">
      <c r="A112" s="34">
        <v>45717.0</v>
      </c>
      <c r="B112" s="48">
        <f>B111+'Página12'!B112</f>
        <v>4296724.8</v>
      </c>
      <c r="C112" s="48">
        <f>C111+'Página12'!C112</f>
        <v>3476240.34</v>
      </c>
      <c r="D112" s="48">
        <f>D111+'Página12'!D112</f>
        <v>3649353.41</v>
      </c>
      <c r="E112" s="48">
        <f>E111+'Página12'!E112</f>
        <v>3476240.34</v>
      </c>
      <c r="F112" s="48">
        <f>F111+'Página12'!F112</f>
        <v>3302428.32</v>
      </c>
      <c r="G112" s="48">
        <f>G111+'Página12'!G112</f>
        <v>2898346.49</v>
      </c>
      <c r="H112" s="48">
        <f>H111+'Página12'!H112</f>
        <v>2284182.7</v>
      </c>
      <c r="I112" s="48">
        <f>I111+'Página12'!I112</f>
        <v>2429628.54</v>
      </c>
      <c r="J112" s="48">
        <f>J111+'Página12'!J112</f>
        <v>2284182.7</v>
      </c>
      <c r="K112" s="48">
        <f>K111+'Página12'!K112</f>
        <v>2177906.64</v>
      </c>
    </row>
    <row r="113">
      <c r="A113" s="34">
        <v>45748.0</v>
      </c>
      <c r="B113" s="48">
        <f>B112+'Página12'!B113</f>
        <v>4342675.87</v>
      </c>
      <c r="C113" s="48">
        <f>C112+'Página12'!C113</f>
        <v>3511067.81</v>
      </c>
      <c r="D113" s="48">
        <f>D112+'Página12'!D113</f>
        <v>3685414.36</v>
      </c>
      <c r="E113" s="48">
        <f>E112+'Página12'!E113</f>
        <v>3511067.81</v>
      </c>
      <c r="F113" s="48">
        <f>F112+'Página12'!F113</f>
        <v>3335514.42</v>
      </c>
      <c r="G113" s="48">
        <f>G112+'Página12'!G113</f>
        <v>2929293.7</v>
      </c>
      <c r="H113" s="48">
        <f>H112+'Página12'!H113</f>
        <v>2306367.41</v>
      </c>
      <c r="I113" s="48">
        <f>I112+'Página12'!I113</f>
        <v>2453405.43</v>
      </c>
      <c r="J113" s="48">
        <f>J112+'Página12'!J113</f>
        <v>2306367.41</v>
      </c>
      <c r="K113" s="48">
        <f>K112+'Página12'!K113</f>
        <v>2199068.72</v>
      </c>
    </row>
    <row r="114">
      <c r="A114" s="34">
        <v>45778.0</v>
      </c>
      <c r="B114" s="48">
        <f>B113+'Página12'!B114</f>
        <v>4388626.94</v>
      </c>
      <c r="C114" s="48">
        <f>C113+'Página12'!C114</f>
        <v>3545895.28</v>
      </c>
      <c r="D114" s="48">
        <f>D113+'Página12'!D114</f>
        <v>3721475.31</v>
      </c>
      <c r="E114" s="48">
        <f>E113+'Página12'!E114</f>
        <v>3545895.28</v>
      </c>
      <c r="F114" s="48">
        <f>F113+'Página12'!F114</f>
        <v>3368600.52</v>
      </c>
      <c r="G114" s="48">
        <f>G113+'Página12'!G114</f>
        <v>2960240.91</v>
      </c>
      <c r="H114" s="48">
        <f>H113+'Página12'!H114</f>
        <v>2328552.12</v>
      </c>
      <c r="I114" s="48">
        <f>I113+'Página12'!I114</f>
        <v>2477182.32</v>
      </c>
      <c r="J114" s="48">
        <f>J113+'Página12'!J114</f>
        <v>2328552.12</v>
      </c>
      <c r="K114" s="48">
        <f>K113+'Página12'!K114</f>
        <v>2220230.8</v>
      </c>
    </row>
    <row r="115">
      <c r="A115" s="34">
        <v>45809.0</v>
      </c>
      <c r="B115" s="48">
        <f>B114+'Página12'!B115</f>
        <v>4434578.01</v>
      </c>
      <c r="C115" s="48">
        <f>C114+'Página12'!C115</f>
        <v>3580722.75</v>
      </c>
      <c r="D115" s="48">
        <f>D114+'Página12'!D115</f>
        <v>3757536.26</v>
      </c>
      <c r="E115" s="48">
        <f>E114+'Página12'!E115</f>
        <v>3580722.75</v>
      </c>
      <c r="F115" s="48">
        <f>F114+'Página12'!F115</f>
        <v>3401686.62</v>
      </c>
      <c r="G115" s="48">
        <f>G114+'Página12'!G115</f>
        <v>2991188.12</v>
      </c>
      <c r="H115" s="48">
        <f>H114+'Página12'!H115</f>
        <v>2350736.83</v>
      </c>
      <c r="I115" s="48">
        <f>I114+'Página12'!I115</f>
        <v>2500959.21</v>
      </c>
      <c r="J115" s="48">
        <f>J114+'Página12'!J115</f>
        <v>2350736.83</v>
      </c>
      <c r="K115" s="48">
        <f>K114+'Página12'!K115</f>
        <v>2241392.88</v>
      </c>
    </row>
    <row r="116">
      <c r="A116" s="34">
        <v>45839.0</v>
      </c>
      <c r="B116" s="48">
        <f>B115+'Página12'!B116</f>
        <v>4480529.08</v>
      </c>
      <c r="C116" s="48">
        <f>C115+'Página12'!C116</f>
        <v>3615550.22</v>
      </c>
      <c r="D116" s="48">
        <f>D115+'Página12'!D116</f>
        <v>3793597.21</v>
      </c>
      <c r="E116" s="48">
        <f>E115+'Página12'!E116</f>
        <v>3615550.22</v>
      </c>
      <c r="F116" s="48">
        <f>F115+'Página12'!F116</f>
        <v>3434772.72</v>
      </c>
      <c r="G116" s="48">
        <f>G115+'Página12'!G116</f>
        <v>3022135.33</v>
      </c>
      <c r="H116" s="48">
        <f>H115+'Página12'!H116</f>
        <v>2372921.54</v>
      </c>
      <c r="I116" s="48">
        <f>I115+'Página12'!I116</f>
        <v>2524736.1</v>
      </c>
      <c r="J116" s="48">
        <f>J115+'Página12'!J116</f>
        <v>2372921.54</v>
      </c>
      <c r="K116" s="48">
        <f>K115+'Página12'!K116</f>
        <v>2262554.96</v>
      </c>
    </row>
    <row r="117">
      <c r="A117" s="34">
        <v>45870.0</v>
      </c>
      <c r="B117" s="48">
        <f>B116+'Página12'!B117</f>
        <v>4526480.15</v>
      </c>
      <c r="C117" s="48">
        <f>C116+'Página12'!C117</f>
        <v>3650377.69</v>
      </c>
      <c r="D117" s="48">
        <f>D116+'Página12'!D117</f>
        <v>3829658.16</v>
      </c>
      <c r="E117" s="48">
        <f>E116+'Página12'!E117</f>
        <v>3650377.69</v>
      </c>
      <c r="F117" s="48">
        <f>F116+'Página12'!F117</f>
        <v>3467858.82</v>
      </c>
      <c r="G117" s="48">
        <f>G116+'Página12'!G117</f>
        <v>3053082.54</v>
      </c>
      <c r="H117" s="48">
        <f>H116+'Página12'!H117</f>
        <v>2395106.25</v>
      </c>
      <c r="I117" s="48">
        <f>I116+'Página12'!I117</f>
        <v>2548512.99</v>
      </c>
      <c r="J117" s="48">
        <f>J116+'Página12'!J117</f>
        <v>2395106.25</v>
      </c>
      <c r="K117" s="48">
        <f>K116+'Página12'!K117</f>
        <v>2283717.04</v>
      </c>
    </row>
    <row r="118">
      <c r="A118" s="34">
        <v>45901.0</v>
      </c>
      <c r="B118" s="48">
        <f>B117+'Página12'!B118</f>
        <v>4572431.22</v>
      </c>
      <c r="C118" s="48">
        <f>C117+'Página12'!C118</f>
        <v>3685205.16</v>
      </c>
      <c r="D118" s="48">
        <f>D117+'Página12'!D118</f>
        <v>3865719.11</v>
      </c>
      <c r="E118" s="48">
        <f>E117+'Página12'!E118</f>
        <v>3685205.16</v>
      </c>
      <c r="F118" s="48">
        <f>F117+'Página12'!F118</f>
        <v>3500944.92</v>
      </c>
      <c r="G118" s="48">
        <f>G117+'Página12'!G118</f>
        <v>3084029.75</v>
      </c>
      <c r="H118" s="48">
        <f>H117+'Página12'!H118</f>
        <v>2417290.96</v>
      </c>
      <c r="I118" s="48">
        <f>I117+'Página12'!I118</f>
        <v>2572289.88</v>
      </c>
      <c r="J118" s="48">
        <f>J117+'Página12'!J118</f>
        <v>2417290.96</v>
      </c>
      <c r="K118" s="48">
        <f>K117+'Página12'!K118</f>
        <v>2304879.12</v>
      </c>
    </row>
    <row r="119">
      <c r="A119" s="34">
        <v>45931.0</v>
      </c>
      <c r="B119" s="48">
        <f>B118+'Página12'!B119</f>
        <v>4618382.29</v>
      </c>
      <c r="C119" s="48">
        <f>C118+'Página12'!C119</f>
        <v>3720032.63</v>
      </c>
      <c r="D119" s="48">
        <f>D118+'Página12'!D119</f>
        <v>3901780.06</v>
      </c>
      <c r="E119" s="48">
        <f>E118+'Página12'!E119</f>
        <v>3720032.63</v>
      </c>
      <c r="F119" s="48">
        <f>F118+'Página12'!F119</f>
        <v>3534031.02</v>
      </c>
      <c r="G119" s="48">
        <f>G118+'Página12'!G119</f>
        <v>3114976.96</v>
      </c>
      <c r="H119" s="48">
        <f>H118+'Página12'!H119</f>
        <v>2439475.67</v>
      </c>
      <c r="I119" s="48">
        <f>I118+'Página12'!I119</f>
        <v>2596066.77</v>
      </c>
      <c r="J119" s="48">
        <f>J118+'Página12'!J119</f>
        <v>2439475.67</v>
      </c>
      <c r="K119" s="48">
        <f>K118+'Página12'!K119</f>
        <v>2326041.2</v>
      </c>
    </row>
    <row r="120">
      <c r="A120" s="34">
        <v>45962.0</v>
      </c>
      <c r="B120" s="48">
        <f>B119+'Página12'!B120</f>
        <v>4664333.36</v>
      </c>
      <c r="C120" s="48">
        <f>C119+'Página12'!C120</f>
        <v>3754860.1</v>
      </c>
      <c r="D120" s="48">
        <f>D119+'Página12'!D120</f>
        <v>3937841.01</v>
      </c>
      <c r="E120" s="48">
        <f>E119+'Página12'!E120</f>
        <v>3754860.1</v>
      </c>
      <c r="F120" s="48">
        <f>F119+'Página12'!F120</f>
        <v>3567117.12</v>
      </c>
      <c r="G120" s="48">
        <f>G119+'Página12'!G120</f>
        <v>3145924.17</v>
      </c>
      <c r="H120" s="48">
        <f>H119+'Página12'!H120</f>
        <v>2461660.38</v>
      </c>
      <c r="I120" s="48">
        <f>I119+'Página12'!I120</f>
        <v>2619843.66</v>
      </c>
      <c r="J120" s="48">
        <f>J119+'Página12'!J120</f>
        <v>2461660.38</v>
      </c>
      <c r="K120" s="48">
        <f>K119+'Página12'!K120</f>
        <v>2347203.28</v>
      </c>
    </row>
    <row r="121">
      <c r="A121" s="34">
        <v>45992.0</v>
      </c>
      <c r="B121" s="48">
        <f>B120+'Página12'!B121</f>
        <v>4771537.21</v>
      </c>
      <c r="C121" s="48">
        <f>C120+'Página12'!C121</f>
        <v>3836112.6</v>
      </c>
      <c r="D121" s="48">
        <f>D120+'Página12'!D121</f>
        <v>4021971.21</v>
      </c>
      <c r="E121" s="48">
        <f>E120+'Página12'!E121</f>
        <v>3836112.6</v>
      </c>
      <c r="F121" s="48">
        <f>F120+'Página12'!F121</f>
        <v>3644306.99</v>
      </c>
      <c r="G121" s="48">
        <f>G120+'Página12'!G121</f>
        <v>3218124.02</v>
      </c>
      <c r="H121" s="48">
        <f>H120+'Página12'!H121</f>
        <v>2513417.3</v>
      </c>
      <c r="I121" s="48">
        <f>I120+'Página12'!I121</f>
        <v>2675315.15</v>
      </c>
      <c r="J121" s="48">
        <f>J120+'Página12'!J121</f>
        <v>2513417.3</v>
      </c>
      <c r="K121" s="48">
        <f>K120+'Página12'!K121</f>
        <v>2396574.42</v>
      </c>
    </row>
    <row r="122">
      <c r="A122" s="34">
        <v>46023.0</v>
      </c>
      <c r="B122" s="48">
        <f>B121+'Página12'!B122</f>
        <v>4817488.28</v>
      </c>
      <c r="C122" s="48">
        <f>C121+'Página12'!C122</f>
        <v>3870940.07</v>
      </c>
      <c r="D122" s="48">
        <f>D121+'Página12'!D122</f>
        <v>4058032.16</v>
      </c>
      <c r="E122" s="48">
        <f>E121+'Página12'!E122</f>
        <v>3870940.07</v>
      </c>
      <c r="F122" s="48">
        <f>F121+'Página12'!F122</f>
        <v>3677393.09</v>
      </c>
      <c r="G122" s="48">
        <f>G121+'Página12'!G122</f>
        <v>3249071.23</v>
      </c>
      <c r="H122" s="48">
        <f>H121+'Página12'!H122</f>
        <v>2535602.01</v>
      </c>
      <c r="I122" s="48">
        <f>I121+'Página12'!I122</f>
        <v>2699092.04</v>
      </c>
      <c r="J122" s="48">
        <f>J121+'Página12'!J122</f>
        <v>2535602.01</v>
      </c>
      <c r="K122" s="48">
        <f>K121+'Página12'!K122</f>
        <v>2417736.5</v>
      </c>
    </row>
    <row r="123">
      <c r="A123" s="34">
        <v>46054.0</v>
      </c>
      <c r="B123" s="48">
        <f>B122+'Página12'!B123</f>
        <v>4863439.35</v>
      </c>
      <c r="C123" s="48">
        <f>C122+'Página12'!C123</f>
        <v>3905767.54</v>
      </c>
      <c r="D123" s="48">
        <f>D122+'Página12'!D123</f>
        <v>4094093.11</v>
      </c>
      <c r="E123" s="48">
        <f>E122+'Página12'!E123</f>
        <v>3905767.54</v>
      </c>
      <c r="F123" s="48">
        <f>F122+'Página12'!F123</f>
        <v>3710479.19</v>
      </c>
      <c r="G123" s="48">
        <f>G122+'Página12'!G123</f>
        <v>3280018.44</v>
      </c>
      <c r="H123" s="48">
        <f>H122+'Página12'!H123</f>
        <v>2557786.72</v>
      </c>
      <c r="I123" s="48">
        <f>I122+'Página12'!I123</f>
        <v>2722868.93</v>
      </c>
      <c r="J123" s="48">
        <f>J122+'Página12'!J123</f>
        <v>2557786.72</v>
      </c>
      <c r="K123" s="48">
        <f>K122+'Página12'!K123</f>
        <v>2438898.58</v>
      </c>
    </row>
    <row r="124">
      <c r="A124" s="34">
        <v>46082.0</v>
      </c>
      <c r="B124" s="48">
        <f>B123+'Página12'!B124</f>
        <v>4909390.42</v>
      </c>
      <c r="C124" s="48">
        <f>C123+'Página12'!C124</f>
        <v>3940595.01</v>
      </c>
      <c r="D124" s="48">
        <f>D123+'Página12'!D124</f>
        <v>4130154.06</v>
      </c>
      <c r="E124" s="48">
        <f>E123+'Página12'!E124</f>
        <v>3940595.01</v>
      </c>
      <c r="F124" s="48">
        <f>F123+'Página12'!F124</f>
        <v>3743565.29</v>
      </c>
      <c r="G124" s="48">
        <f>G123+'Página12'!G124</f>
        <v>3310965.65</v>
      </c>
      <c r="H124" s="48">
        <f>H123+'Página12'!H124</f>
        <v>2579971.43</v>
      </c>
      <c r="I124" s="48">
        <f>I123+'Página12'!I124</f>
        <v>2746645.82</v>
      </c>
      <c r="J124" s="48">
        <f>J123+'Página12'!J124</f>
        <v>2579971.43</v>
      </c>
      <c r="K124" s="48">
        <f>K123+'Página12'!K124</f>
        <v>2460060.66</v>
      </c>
    </row>
    <row r="125">
      <c r="A125" s="34">
        <v>46113.0</v>
      </c>
      <c r="B125" s="48">
        <f>B124+'Página12'!B125</f>
        <v>4955341.49</v>
      </c>
      <c r="C125" s="48">
        <f>C124+'Página12'!C125</f>
        <v>3979220.27</v>
      </c>
      <c r="D125" s="48">
        <f>D124+'Página12'!D125</f>
        <v>4170265.01</v>
      </c>
      <c r="E125" s="48">
        <f>E124+'Página12'!E125</f>
        <v>3979220.27</v>
      </c>
      <c r="F125" s="48">
        <f>F124+'Página12'!F125</f>
        <v>3780259.29</v>
      </c>
      <c r="G125" s="48">
        <f>G124+'Página12'!G125</f>
        <v>3341912.86</v>
      </c>
      <c r="H125" s="48">
        <f>H124+'Página12'!H125</f>
        <v>2604386.39</v>
      </c>
      <c r="I125" s="48">
        <f>I124+'Página12'!I125</f>
        <v>2773358.96</v>
      </c>
      <c r="J125" s="48">
        <f>J124+'Página12'!J125</f>
        <v>2604386.39</v>
      </c>
      <c r="K125" s="48">
        <f>K124+'Página12'!K125</f>
        <v>2483341.48</v>
      </c>
    </row>
    <row r="126">
      <c r="A126" s="34">
        <v>46143.0</v>
      </c>
      <c r="B126" s="48">
        <f>B125+'Página12'!B126</f>
        <v>5001292.56</v>
      </c>
      <c r="C126" s="48">
        <f>C125+'Página12'!C126</f>
        <v>4017845.53</v>
      </c>
      <c r="D126" s="48">
        <f>D125+'Página12'!D126</f>
        <v>4210375.96</v>
      </c>
      <c r="E126" s="48">
        <f>E125+'Página12'!E126</f>
        <v>4017845.53</v>
      </c>
      <c r="F126" s="48">
        <f>F125+'Página12'!F126</f>
        <v>3816953.29</v>
      </c>
      <c r="G126" s="48">
        <f>G125+'Página12'!G126</f>
        <v>3372860.07</v>
      </c>
      <c r="H126" s="48">
        <f>H125+'Página12'!H126</f>
        <v>2628801.35</v>
      </c>
      <c r="I126" s="48">
        <f>I125+'Página12'!I126</f>
        <v>2800072.1</v>
      </c>
      <c r="J126" s="48">
        <f>J125+'Página12'!J126</f>
        <v>2628801.35</v>
      </c>
      <c r="K126" s="48">
        <f>K125+'Página12'!K126</f>
        <v>2506622.3</v>
      </c>
    </row>
    <row r="127">
      <c r="A127" s="34">
        <v>46174.0</v>
      </c>
      <c r="B127" s="48">
        <f>B126+'Página12'!B127</f>
        <v>5047243.63</v>
      </c>
      <c r="C127" s="48">
        <f>C126+'Página12'!C127</f>
        <v>4056470.79</v>
      </c>
      <c r="D127" s="48">
        <f>D126+'Página12'!D127</f>
        <v>4250486.91</v>
      </c>
      <c r="E127" s="48">
        <f>E126+'Página12'!E127</f>
        <v>4056470.79</v>
      </c>
      <c r="F127" s="48">
        <f>F126+'Página12'!F127</f>
        <v>3853647.29</v>
      </c>
      <c r="G127" s="48">
        <f>G126+'Página12'!G127</f>
        <v>3403807.28</v>
      </c>
      <c r="H127" s="48">
        <f>H126+'Página12'!H127</f>
        <v>2653216.31</v>
      </c>
      <c r="I127" s="48">
        <f>I126+'Página12'!I127</f>
        <v>2826785.24</v>
      </c>
      <c r="J127" s="48">
        <f>J126+'Página12'!J127</f>
        <v>2653216.31</v>
      </c>
      <c r="K127" s="48">
        <f>K126+'Página12'!K127</f>
        <v>2529903.12</v>
      </c>
    </row>
    <row r="128">
      <c r="A128" s="34">
        <v>46204.0</v>
      </c>
      <c r="B128" s="48">
        <f>B127+'Página12'!B128</f>
        <v>5093194.7</v>
      </c>
      <c r="C128" s="48">
        <f>C127+'Página12'!C128</f>
        <v>4095096.05</v>
      </c>
      <c r="D128" s="48">
        <f>D127+'Página12'!D128</f>
        <v>4290597.86</v>
      </c>
      <c r="E128" s="48">
        <f>E127+'Página12'!E128</f>
        <v>4095096.05</v>
      </c>
      <c r="F128" s="48">
        <f>F127+'Página12'!F128</f>
        <v>3890341.29</v>
      </c>
      <c r="G128" s="48">
        <f>G127+'Página12'!G128</f>
        <v>3434754.49</v>
      </c>
      <c r="H128" s="48">
        <f>H127+'Página12'!H128</f>
        <v>2677631.27</v>
      </c>
      <c r="I128" s="48">
        <f>I127+'Página12'!I128</f>
        <v>2853498.38</v>
      </c>
      <c r="J128" s="48">
        <f>J127+'Página12'!J128</f>
        <v>2677631.27</v>
      </c>
      <c r="K128" s="48">
        <f>K127+'Página12'!K128</f>
        <v>2553183.94</v>
      </c>
    </row>
    <row r="129">
      <c r="A129" s="34">
        <v>46235.0</v>
      </c>
      <c r="B129" s="48">
        <f>B128+'Página12'!B129</f>
        <v>5139145.77</v>
      </c>
      <c r="C129" s="48">
        <f>C128+'Página12'!C129</f>
        <v>4133721.31</v>
      </c>
      <c r="D129" s="48">
        <f>D128+'Página12'!D129</f>
        <v>4330708.81</v>
      </c>
      <c r="E129" s="48">
        <f>E128+'Página12'!E129</f>
        <v>4133721.31</v>
      </c>
      <c r="F129" s="48">
        <f>F128+'Página12'!F129</f>
        <v>3927035.29</v>
      </c>
      <c r="G129" s="48">
        <f>G128+'Página12'!G129</f>
        <v>3465701.7</v>
      </c>
      <c r="H129" s="48">
        <f>H128+'Página12'!H129</f>
        <v>2702046.23</v>
      </c>
      <c r="I129" s="48">
        <f>I128+'Página12'!I129</f>
        <v>2880211.52</v>
      </c>
      <c r="J129" s="48">
        <f>J128+'Página12'!J129</f>
        <v>2702046.23</v>
      </c>
      <c r="K129" s="48">
        <f>K128+'Página12'!K129</f>
        <v>2576464.76</v>
      </c>
    </row>
    <row r="130">
      <c r="A130" s="34">
        <v>46266.0</v>
      </c>
      <c r="B130" s="48">
        <f>B129+'Página12'!B130</f>
        <v>5185096.84</v>
      </c>
      <c r="C130" s="48">
        <f>C129+'Página12'!C130</f>
        <v>4172346.57</v>
      </c>
      <c r="D130" s="48">
        <f>D129+'Página12'!D130</f>
        <v>4370819.76</v>
      </c>
      <c r="E130" s="48">
        <f>E129+'Página12'!E130</f>
        <v>4172346.57</v>
      </c>
      <c r="F130" s="48">
        <f>F129+'Página12'!F130</f>
        <v>3963729.29</v>
      </c>
      <c r="G130" s="48">
        <f>G129+'Página12'!G130</f>
        <v>3496648.91</v>
      </c>
      <c r="H130" s="48">
        <f>H129+'Página12'!H130</f>
        <v>2726461.19</v>
      </c>
      <c r="I130" s="48">
        <f>I129+'Página12'!I130</f>
        <v>2906924.66</v>
      </c>
      <c r="J130" s="48">
        <f>J129+'Página12'!J130</f>
        <v>2726461.19</v>
      </c>
      <c r="K130" s="48">
        <f>K129+'Página12'!K130</f>
        <v>2599745.58</v>
      </c>
    </row>
    <row r="131">
      <c r="A131" s="34">
        <v>46296.0</v>
      </c>
      <c r="B131" s="48">
        <f>B130+'Página12'!B131</f>
        <v>5231047.91</v>
      </c>
      <c r="C131" s="48">
        <f>C130+'Página12'!C131</f>
        <v>4210971.83</v>
      </c>
      <c r="D131" s="48">
        <f>D130+'Página12'!D131</f>
        <v>4410930.71</v>
      </c>
      <c r="E131" s="48">
        <f>E130+'Página12'!E131</f>
        <v>4210971.83</v>
      </c>
      <c r="F131" s="48">
        <f>F130+'Página12'!F131</f>
        <v>4000423.29</v>
      </c>
      <c r="G131" s="48">
        <f>G130+'Página12'!G131</f>
        <v>3527596.12</v>
      </c>
      <c r="H131" s="48">
        <f>H130+'Página12'!H131</f>
        <v>2750876.15</v>
      </c>
      <c r="I131" s="48">
        <f>I130+'Página12'!I131</f>
        <v>2933637.8</v>
      </c>
      <c r="J131" s="48">
        <f>J130+'Página12'!J131</f>
        <v>2750876.15</v>
      </c>
      <c r="K131" s="48">
        <f>K130+'Página12'!K131</f>
        <v>2623026.4</v>
      </c>
    </row>
    <row r="132">
      <c r="A132" s="34">
        <v>46327.0</v>
      </c>
      <c r="B132" s="48">
        <f>B131+'Página12'!B132</f>
        <v>5276998.98</v>
      </c>
      <c r="C132" s="48">
        <f>C131+'Página12'!C132</f>
        <v>4249597.09</v>
      </c>
      <c r="D132" s="48">
        <f>D131+'Página12'!D132</f>
        <v>4451041.66</v>
      </c>
      <c r="E132" s="48">
        <f>E131+'Página12'!E132</f>
        <v>4249597.09</v>
      </c>
      <c r="F132" s="48">
        <f>F131+'Página12'!F132</f>
        <v>4037117.29</v>
      </c>
      <c r="G132" s="48">
        <f>G131+'Página12'!G132</f>
        <v>3558543.33</v>
      </c>
      <c r="H132" s="48">
        <f>H131+'Página12'!H132</f>
        <v>2775291.11</v>
      </c>
      <c r="I132" s="48">
        <f>I131+'Página12'!I132</f>
        <v>2960350.94</v>
      </c>
      <c r="J132" s="48">
        <f>J131+'Página12'!J132</f>
        <v>2775291.11</v>
      </c>
      <c r="K132" s="48">
        <f>K131+'Página12'!K132</f>
        <v>2646307.22</v>
      </c>
    </row>
    <row r="133">
      <c r="A133" s="34">
        <v>46357.0</v>
      </c>
      <c r="B133" s="48">
        <f>B132+'Página12'!B133</f>
        <v>5384202.83</v>
      </c>
      <c r="C133" s="48">
        <f>C132+'Página12'!C133</f>
        <v>4339709.83</v>
      </c>
      <c r="D133" s="48">
        <f>D132+'Página12'!D133</f>
        <v>4544620.51</v>
      </c>
      <c r="E133" s="48">
        <f>E132+'Página12'!E133</f>
        <v>4339709.83</v>
      </c>
      <c r="F133" s="48">
        <f>F132+'Página12'!F133</f>
        <v>4122724.39</v>
      </c>
      <c r="G133" s="48">
        <f>G132+'Página12'!G133</f>
        <v>3630743.18</v>
      </c>
      <c r="H133" s="48">
        <f>H132+'Página12'!H133</f>
        <v>2832251.21</v>
      </c>
      <c r="I133" s="48">
        <f>I132+'Página12'!I133</f>
        <v>3022672.7</v>
      </c>
      <c r="J133" s="48">
        <f>J132+'Página12'!J133</f>
        <v>2832251.21</v>
      </c>
      <c r="K133" s="48">
        <f>K132+'Página12'!K133</f>
        <v>2700621.38</v>
      </c>
    </row>
    <row r="134">
      <c r="A134" s="34">
        <v>46388.0</v>
      </c>
      <c r="B134" s="48">
        <f>B133+'Página12'!B134</f>
        <v>5430153.9</v>
      </c>
      <c r="C134" s="48">
        <f>C133+'Página12'!C134</f>
        <v>4378335.09</v>
      </c>
      <c r="D134" s="48">
        <f>D133+'Página12'!D134</f>
        <v>4584731.46</v>
      </c>
      <c r="E134" s="48">
        <f>E133+'Página12'!E134</f>
        <v>4378335.09</v>
      </c>
      <c r="F134" s="48">
        <f>F133+'Página12'!F134</f>
        <v>4159418.39</v>
      </c>
      <c r="G134" s="48">
        <f>G133+'Página12'!G134</f>
        <v>3661690.39</v>
      </c>
      <c r="H134" s="48">
        <f>H133+'Página12'!H134</f>
        <v>2856666.17</v>
      </c>
      <c r="I134" s="48">
        <f>I133+'Página12'!I134</f>
        <v>3049385.84</v>
      </c>
      <c r="J134" s="48">
        <f>J133+'Página12'!J134</f>
        <v>2856666.17</v>
      </c>
      <c r="K134" s="48">
        <f>K133+'Página12'!K134</f>
        <v>2723902.2</v>
      </c>
    </row>
    <row r="135">
      <c r="A135" s="34">
        <v>46419.0</v>
      </c>
      <c r="B135" s="48">
        <f>B134+'Página12'!B135</f>
        <v>5476104.97</v>
      </c>
      <c r="C135" s="48">
        <f>C134+'Página12'!C135</f>
        <v>4416960.35</v>
      </c>
      <c r="D135" s="48">
        <f>D134+'Página12'!D135</f>
        <v>4625204.66</v>
      </c>
      <c r="E135" s="48">
        <f>E134+'Página12'!E135</f>
        <v>4416960.35</v>
      </c>
      <c r="F135" s="48">
        <f>F134+'Página12'!F135</f>
        <v>4196112.39</v>
      </c>
      <c r="G135" s="48">
        <f>G134+'Página12'!G135</f>
        <v>3692637.6</v>
      </c>
      <c r="H135" s="48">
        <f>H134+'Página12'!H135</f>
        <v>2881081.13</v>
      </c>
      <c r="I135" s="48">
        <f>I134+'Página12'!I135</f>
        <v>3076361.61</v>
      </c>
      <c r="J135" s="48">
        <f>J134+'Página12'!J135</f>
        <v>2881081.13</v>
      </c>
      <c r="K135" s="48">
        <f>K134+'Página12'!K135</f>
        <v>2747183.02</v>
      </c>
    </row>
    <row r="136">
      <c r="A136" s="34">
        <v>46447.0</v>
      </c>
      <c r="B136" s="48">
        <f>B135+'Página12'!B136</f>
        <v>5522056.04</v>
      </c>
      <c r="C136" s="48">
        <f>C135+'Página12'!C136</f>
        <v>4455585.61</v>
      </c>
      <c r="D136" s="48">
        <f>D135+'Página12'!D136</f>
        <v>4665677.86</v>
      </c>
      <c r="E136" s="48">
        <f>E135+'Página12'!E136</f>
        <v>4455585.61</v>
      </c>
      <c r="F136" s="48">
        <f>F135+'Página12'!F136</f>
        <v>4232806.39</v>
      </c>
      <c r="G136" s="48">
        <f>G135+'Página12'!G136</f>
        <v>3723584.81</v>
      </c>
      <c r="H136" s="48">
        <f>H135+'Página12'!H136</f>
        <v>2905496.09</v>
      </c>
      <c r="I136" s="48">
        <f>I135+'Página12'!I136</f>
        <v>3103337.38</v>
      </c>
      <c r="J136" s="48">
        <f>J135+'Página12'!J136</f>
        <v>2905496.09</v>
      </c>
      <c r="K136" s="48">
        <f>K135+'Página12'!K136</f>
        <v>2770463.84</v>
      </c>
    </row>
    <row r="137">
      <c r="A137" s="34">
        <v>46478.0</v>
      </c>
      <c r="B137" s="48">
        <f>B136+'Página12'!B137</f>
        <v>5568007.11</v>
      </c>
      <c r="C137" s="48">
        <f>C136+'Página12'!C137</f>
        <v>4494210.87</v>
      </c>
      <c r="D137" s="48">
        <f>D136+'Página12'!D137</f>
        <v>4706151.06</v>
      </c>
      <c r="E137" s="48">
        <f>E136+'Página12'!E137</f>
        <v>4494210.87</v>
      </c>
      <c r="F137" s="48">
        <f>F136+'Página12'!F137</f>
        <v>4269500.39</v>
      </c>
      <c r="G137" s="48">
        <f>G136+'Página12'!G137</f>
        <v>3754532.02</v>
      </c>
      <c r="H137" s="48">
        <f>H136+'Página12'!H137</f>
        <v>2929911.05</v>
      </c>
      <c r="I137" s="48">
        <f>I136+'Página12'!I137</f>
        <v>3130313.15</v>
      </c>
      <c r="J137" s="48">
        <f>J136+'Página12'!J137</f>
        <v>2929911.05</v>
      </c>
      <c r="K137" s="48">
        <f>K136+'Página12'!K137</f>
        <v>2793744.66</v>
      </c>
    </row>
    <row r="138">
      <c r="A138" s="34">
        <v>46508.0</v>
      </c>
      <c r="B138" s="48">
        <f>B137+'Página12'!B138</f>
        <v>5613958.18</v>
      </c>
      <c r="C138" s="48">
        <f>C137+'Página12'!C138</f>
        <v>4532836.13</v>
      </c>
      <c r="D138" s="48">
        <f>D137+'Página12'!D138</f>
        <v>4746624.26</v>
      </c>
      <c r="E138" s="48">
        <f>E137+'Página12'!E138</f>
        <v>4532836.13</v>
      </c>
      <c r="F138" s="48">
        <f>F137+'Página12'!F138</f>
        <v>4306194.39</v>
      </c>
      <c r="G138" s="48">
        <f>G137+'Página12'!G138</f>
        <v>3785479.23</v>
      </c>
      <c r="H138" s="48">
        <f>H137+'Página12'!H138</f>
        <v>2954326.01</v>
      </c>
      <c r="I138" s="48">
        <f>I137+'Página12'!I138</f>
        <v>3157288.92</v>
      </c>
      <c r="J138" s="48">
        <f>J137+'Página12'!J138</f>
        <v>2954326.01</v>
      </c>
      <c r="K138" s="48">
        <f>K137+'Página12'!K138</f>
        <v>2817025.48</v>
      </c>
    </row>
    <row r="139">
      <c r="A139" s="34">
        <v>46539.0</v>
      </c>
      <c r="B139" s="48">
        <f>B138+'Página12'!B139</f>
        <v>5659909.25</v>
      </c>
      <c r="C139" s="48">
        <f>C138+'Página12'!C139</f>
        <v>4571461.39</v>
      </c>
      <c r="D139" s="48">
        <f>D138+'Página12'!D139</f>
        <v>4787097.46</v>
      </c>
      <c r="E139" s="48">
        <f>E138+'Página12'!E139</f>
        <v>4571461.39</v>
      </c>
      <c r="F139" s="48">
        <f>F138+'Página12'!F139</f>
        <v>4342888.39</v>
      </c>
      <c r="G139" s="48">
        <f>G138+'Página12'!G139</f>
        <v>3816426.44</v>
      </c>
      <c r="H139" s="48">
        <f>H138+'Página12'!H139</f>
        <v>2978740.97</v>
      </c>
      <c r="I139" s="48">
        <f>I138+'Página12'!I139</f>
        <v>3184264.69</v>
      </c>
      <c r="J139" s="48">
        <f>J138+'Página12'!J139</f>
        <v>2978740.97</v>
      </c>
      <c r="K139" s="48">
        <f>K138+'Página12'!K139</f>
        <v>2840306.3</v>
      </c>
    </row>
    <row r="140">
      <c r="A140" s="34">
        <v>46569.0</v>
      </c>
      <c r="B140" s="48">
        <f>B139+'Página12'!B140</f>
        <v>5705860.32</v>
      </c>
      <c r="C140" s="48">
        <f>C139+'Página12'!C140</f>
        <v>4610086.65</v>
      </c>
      <c r="D140" s="48">
        <f>D139+'Página12'!D140</f>
        <v>4827570.66</v>
      </c>
      <c r="E140" s="48">
        <f>E139+'Página12'!E140</f>
        <v>4610086.65</v>
      </c>
      <c r="F140" s="48">
        <f>F139+'Página12'!F140</f>
        <v>4379582.39</v>
      </c>
      <c r="G140" s="48">
        <f>G139+'Página12'!G140</f>
        <v>3847373.65</v>
      </c>
      <c r="H140" s="48">
        <f>H139+'Página12'!H140</f>
        <v>3003155.93</v>
      </c>
      <c r="I140" s="48">
        <f>I139+'Página12'!I140</f>
        <v>3211240.46</v>
      </c>
      <c r="J140" s="48">
        <f>J139+'Página12'!J140</f>
        <v>3003155.93</v>
      </c>
      <c r="K140" s="48">
        <f>K139+'Página12'!K140</f>
        <v>2863587.12</v>
      </c>
    </row>
    <row r="141">
      <c r="A141" s="34">
        <v>46600.0</v>
      </c>
      <c r="B141" s="48">
        <f>B140+'Página12'!B141</f>
        <v>5751811.39</v>
      </c>
      <c r="C141" s="48">
        <f>C140+'Página12'!C141</f>
        <v>4648711.91</v>
      </c>
      <c r="D141" s="48">
        <f>D140+'Página12'!D141</f>
        <v>4868043.86</v>
      </c>
      <c r="E141" s="48">
        <f>E140+'Página12'!E141</f>
        <v>4648711.91</v>
      </c>
      <c r="F141" s="48">
        <f>F140+'Página12'!F141</f>
        <v>4416276.39</v>
      </c>
      <c r="G141" s="48">
        <f>G140+'Página12'!G141</f>
        <v>3878320.86</v>
      </c>
      <c r="H141" s="48">
        <f>H140+'Página12'!H141</f>
        <v>3027570.89</v>
      </c>
      <c r="I141" s="48">
        <f>I140+'Página12'!I141</f>
        <v>3238216.23</v>
      </c>
      <c r="J141" s="48">
        <f>J140+'Página12'!J141</f>
        <v>3027570.89</v>
      </c>
      <c r="K141" s="48">
        <f>K140+'Página12'!K141</f>
        <v>2886867.94</v>
      </c>
    </row>
    <row r="142">
      <c r="A142" s="34">
        <v>46631.0</v>
      </c>
      <c r="B142" s="48">
        <f>B141+'Página12'!B142</f>
        <v>5797762.46</v>
      </c>
      <c r="C142" s="48">
        <f>C141+'Página12'!C142</f>
        <v>4687337.17</v>
      </c>
      <c r="D142" s="48">
        <f>D141+'Página12'!D142</f>
        <v>4908517.06</v>
      </c>
      <c r="E142" s="48">
        <f>E141+'Página12'!E142</f>
        <v>4687337.17</v>
      </c>
      <c r="F142" s="48">
        <f>F141+'Página12'!F142</f>
        <v>4452970.39</v>
      </c>
      <c r="G142" s="48">
        <f>G141+'Página12'!G142</f>
        <v>3909268.07</v>
      </c>
      <c r="H142" s="48">
        <f>H141+'Página12'!H142</f>
        <v>3051985.85</v>
      </c>
      <c r="I142" s="48">
        <f>I141+'Página12'!I142</f>
        <v>3265192</v>
      </c>
      <c r="J142" s="48">
        <f>J141+'Página12'!J142</f>
        <v>3051985.85</v>
      </c>
      <c r="K142" s="48">
        <f>K141+'Página12'!K142</f>
        <v>2910148.76</v>
      </c>
    </row>
    <row r="143">
      <c r="A143" s="34">
        <v>46661.0</v>
      </c>
      <c r="B143" s="48">
        <f>B142+'Página12'!B143</f>
        <v>5843713.53</v>
      </c>
      <c r="C143" s="48">
        <f>C142+'Página12'!C143</f>
        <v>4725962.43</v>
      </c>
      <c r="D143" s="48">
        <f>D142+'Página12'!D143</f>
        <v>4948990.26</v>
      </c>
      <c r="E143" s="48">
        <f>E142+'Página12'!E143</f>
        <v>4725962.43</v>
      </c>
      <c r="F143" s="48">
        <f>F142+'Página12'!F143</f>
        <v>4489664.39</v>
      </c>
      <c r="G143" s="48">
        <f>G142+'Página12'!G143</f>
        <v>3940215.28</v>
      </c>
      <c r="H143" s="48">
        <f>H142+'Página12'!H143</f>
        <v>3076400.81</v>
      </c>
      <c r="I143" s="48">
        <f>I142+'Página12'!I143</f>
        <v>3292167.77</v>
      </c>
      <c r="J143" s="48">
        <f>J142+'Página12'!J143</f>
        <v>3076400.81</v>
      </c>
      <c r="K143" s="48">
        <f>K142+'Página12'!K143</f>
        <v>2933429.58</v>
      </c>
    </row>
    <row r="144">
      <c r="A144" s="34">
        <v>46692.0</v>
      </c>
      <c r="B144" s="48">
        <f>B143+'Página12'!B144</f>
        <v>5889664.6</v>
      </c>
      <c r="C144" s="48">
        <f>C143+'Página12'!C144</f>
        <v>4764587.69</v>
      </c>
      <c r="D144" s="48">
        <f>D143+'Página12'!D144</f>
        <v>4989463.46</v>
      </c>
      <c r="E144" s="48">
        <f>E143+'Página12'!E144</f>
        <v>4764587.69</v>
      </c>
      <c r="F144" s="48">
        <f>F143+'Página12'!F144</f>
        <v>4526358.39</v>
      </c>
      <c r="G144" s="48">
        <f>G143+'Página12'!G144</f>
        <v>3971162.49</v>
      </c>
      <c r="H144" s="48">
        <f>H143+'Página12'!H144</f>
        <v>3100815.77</v>
      </c>
      <c r="I144" s="48">
        <f>I143+'Página12'!I144</f>
        <v>3319143.54</v>
      </c>
      <c r="J144" s="48">
        <f>J143+'Página12'!J144</f>
        <v>3100815.77</v>
      </c>
      <c r="K144" s="48">
        <f>K143+'Página12'!K144</f>
        <v>2956710.4</v>
      </c>
    </row>
    <row r="145">
      <c r="A145" s="34">
        <v>46722.0</v>
      </c>
      <c r="B145" s="48">
        <f>B144+'Página12'!B145</f>
        <v>5996868.45</v>
      </c>
      <c r="C145" s="48">
        <f>C144+'Página12'!C145</f>
        <v>4854700.43</v>
      </c>
      <c r="D145" s="48">
        <f>D144+'Página12'!D145</f>
        <v>5083887.44</v>
      </c>
      <c r="E145" s="48">
        <f>E144+'Página12'!E145</f>
        <v>4854700.43</v>
      </c>
      <c r="F145" s="48">
        <f>F144+'Página12'!F145</f>
        <v>4611965.49</v>
      </c>
      <c r="G145" s="48">
        <f>G144+'Página12'!G145</f>
        <v>4043362.34</v>
      </c>
      <c r="H145" s="48">
        <f>H144+'Página12'!H145</f>
        <v>3157775.87</v>
      </c>
      <c r="I145" s="48">
        <f>I144+'Página12'!I145</f>
        <v>3382078.01</v>
      </c>
      <c r="J145" s="48">
        <f>J144+'Página12'!J145</f>
        <v>3157775.87</v>
      </c>
      <c r="K145" s="48">
        <f>K144+'Página12'!K145</f>
        <v>3011024.56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63"/>
    <col customWidth="1" min="2" max="3" width="11.38"/>
    <col customWidth="1" min="4" max="27" width="12.63"/>
    <col customWidth="1" min="28" max="145" width="14.63"/>
  </cols>
  <sheetData>
    <row r="1">
      <c r="A1" s="32" t="s">
        <v>9</v>
      </c>
      <c r="B1" s="34">
        <v>42370.0</v>
      </c>
      <c r="C1" s="34">
        <v>42401.0</v>
      </c>
      <c r="D1" s="34">
        <v>42430.0</v>
      </c>
      <c r="E1" s="34">
        <v>42461.0</v>
      </c>
      <c r="F1" s="34">
        <v>42491.0</v>
      </c>
      <c r="G1" s="34">
        <v>42522.0</v>
      </c>
      <c r="H1" s="34">
        <v>42552.0</v>
      </c>
      <c r="I1" s="34">
        <v>42583.0</v>
      </c>
      <c r="J1" s="34">
        <v>42614.0</v>
      </c>
      <c r="K1" s="34">
        <v>42644.0</v>
      </c>
      <c r="L1" s="34">
        <v>42675.0</v>
      </c>
      <c r="M1" s="34">
        <v>42705.0</v>
      </c>
      <c r="N1" s="34">
        <v>42736.0</v>
      </c>
      <c r="O1" s="34">
        <v>42767.0</v>
      </c>
      <c r="P1" s="34">
        <v>42795.0</v>
      </c>
      <c r="Q1" s="34">
        <v>42826.0</v>
      </c>
      <c r="R1" s="34">
        <v>42856.0</v>
      </c>
      <c r="S1" s="34">
        <v>42887.0</v>
      </c>
      <c r="T1" s="34">
        <v>42917.0</v>
      </c>
      <c r="U1" s="34">
        <v>42948.0</v>
      </c>
      <c r="V1" s="34">
        <v>42979.0</v>
      </c>
      <c r="W1" s="34">
        <v>43009.0</v>
      </c>
      <c r="X1" s="34">
        <v>43040.0</v>
      </c>
      <c r="Y1" s="34">
        <v>43070.0</v>
      </c>
      <c r="Z1" s="34">
        <v>43101.0</v>
      </c>
      <c r="AA1" s="34">
        <v>43132.0</v>
      </c>
      <c r="AB1" s="34">
        <v>43160.0</v>
      </c>
      <c r="AC1" s="34">
        <v>43191.0</v>
      </c>
      <c r="AD1" s="34">
        <v>43221.0</v>
      </c>
      <c r="AE1" s="34">
        <v>43252.0</v>
      </c>
      <c r="AF1" s="34">
        <v>43282.0</v>
      </c>
      <c r="AG1" s="34">
        <v>43313.0</v>
      </c>
      <c r="AH1" s="34">
        <v>43344.0</v>
      </c>
      <c r="AI1" s="34">
        <v>43374.0</v>
      </c>
      <c r="AJ1" s="34">
        <v>43405.0</v>
      </c>
      <c r="AK1" s="34">
        <v>43435.0</v>
      </c>
      <c r="AL1" s="34">
        <v>43466.0</v>
      </c>
      <c r="AM1" s="34">
        <v>43497.0</v>
      </c>
      <c r="AN1" s="34">
        <v>43525.0</v>
      </c>
      <c r="AO1" s="34">
        <v>43556.0</v>
      </c>
      <c r="AP1" s="34">
        <v>43586.0</v>
      </c>
      <c r="AQ1" s="34">
        <v>43617.0</v>
      </c>
      <c r="AR1" s="34">
        <v>43647.0</v>
      </c>
      <c r="AS1" s="34">
        <v>43678.0</v>
      </c>
      <c r="AT1" s="34">
        <v>43709.0</v>
      </c>
      <c r="AU1" s="34">
        <v>43739.0</v>
      </c>
      <c r="AV1" s="34">
        <v>43770.0</v>
      </c>
      <c r="AW1" s="34">
        <v>43800.0</v>
      </c>
      <c r="AX1" s="34">
        <v>43831.0</v>
      </c>
      <c r="AY1" s="34">
        <v>43862.0</v>
      </c>
      <c r="AZ1" s="34">
        <v>43891.0</v>
      </c>
      <c r="BA1" s="34">
        <v>43922.0</v>
      </c>
      <c r="BB1" s="34">
        <v>43952.0</v>
      </c>
      <c r="BC1" s="34">
        <v>43983.0</v>
      </c>
      <c r="BD1" s="34">
        <v>44013.0</v>
      </c>
      <c r="BE1" s="34">
        <v>44044.0</v>
      </c>
      <c r="BF1" s="34">
        <v>44075.0</v>
      </c>
      <c r="BG1" s="34">
        <v>44105.0</v>
      </c>
      <c r="BH1" s="34">
        <v>44136.0</v>
      </c>
      <c r="BI1" s="34">
        <v>44166.0</v>
      </c>
      <c r="BJ1" s="34">
        <v>44197.0</v>
      </c>
      <c r="BK1" s="34">
        <v>44228.0</v>
      </c>
      <c r="BL1" s="34">
        <v>44256.0</v>
      </c>
      <c r="BM1" s="34">
        <v>44287.0</v>
      </c>
      <c r="BN1" s="34">
        <v>44317.0</v>
      </c>
      <c r="BO1" s="34">
        <v>44348.0</v>
      </c>
      <c r="BP1" s="34">
        <v>44378.0</v>
      </c>
      <c r="BQ1" s="34">
        <v>44409.0</v>
      </c>
      <c r="BR1" s="34">
        <v>44440.0</v>
      </c>
      <c r="BS1" s="34">
        <v>44470.0</v>
      </c>
      <c r="BT1" s="34">
        <v>44501.0</v>
      </c>
      <c r="BU1" s="34">
        <v>44531.0</v>
      </c>
      <c r="BV1" s="34">
        <v>44562.0</v>
      </c>
      <c r="BW1" s="34">
        <v>44593.0</v>
      </c>
      <c r="BX1" s="34">
        <v>44621.0</v>
      </c>
      <c r="BY1" s="34">
        <v>44652.0</v>
      </c>
      <c r="BZ1" s="34">
        <v>44682.0</v>
      </c>
      <c r="CA1" s="34">
        <v>44713.0</v>
      </c>
      <c r="CB1" s="34">
        <v>44743.0</v>
      </c>
      <c r="CC1" s="34">
        <v>44774.0</v>
      </c>
      <c r="CD1" s="34">
        <v>44805.0</v>
      </c>
      <c r="CE1" s="34">
        <v>44835.0</v>
      </c>
      <c r="CF1" s="34">
        <v>44866.0</v>
      </c>
      <c r="CG1" s="34">
        <v>44896.0</v>
      </c>
      <c r="CH1" s="34">
        <v>44927.0</v>
      </c>
      <c r="CI1" s="34">
        <v>44958.0</v>
      </c>
      <c r="CJ1" s="34">
        <v>44986.0</v>
      </c>
      <c r="CK1" s="34">
        <v>45017.0</v>
      </c>
      <c r="CL1" s="34">
        <v>45047.0</v>
      </c>
      <c r="CM1" s="34">
        <v>45078.0</v>
      </c>
      <c r="CN1" s="34">
        <v>45108.0</v>
      </c>
      <c r="CO1" s="34">
        <v>45139.0</v>
      </c>
      <c r="CP1" s="34">
        <v>45170.0</v>
      </c>
      <c r="CQ1" s="34">
        <v>45200.0</v>
      </c>
      <c r="CR1" s="34">
        <v>45231.0</v>
      </c>
      <c r="CS1" s="34">
        <v>45261.0</v>
      </c>
      <c r="CT1" s="34">
        <v>45292.0</v>
      </c>
      <c r="CU1" s="34">
        <v>45323.0</v>
      </c>
      <c r="CV1" s="34">
        <v>45352.0</v>
      </c>
      <c r="CW1" s="34">
        <v>45383.0</v>
      </c>
      <c r="CX1" s="34">
        <v>45413.0</v>
      </c>
      <c r="CY1" s="34">
        <v>45444.0</v>
      </c>
      <c r="CZ1" s="34">
        <v>45474.0</v>
      </c>
      <c r="DA1" s="34">
        <v>45505.0</v>
      </c>
      <c r="DB1" s="34">
        <v>45536.0</v>
      </c>
      <c r="DC1" s="34">
        <v>45566.0</v>
      </c>
      <c r="DD1" s="34">
        <v>45597.0</v>
      </c>
      <c r="DE1" s="34">
        <v>45627.0</v>
      </c>
      <c r="DF1" s="34">
        <v>45658.0</v>
      </c>
      <c r="DG1" s="34">
        <v>45689.0</v>
      </c>
      <c r="DH1" s="34">
        <v>45717.0</v>
      </c>
      <c r="DI1" s="34">
        <v>45748.0</v>
      </c>
      <c r="DJ1" s="34">
        <v>45778.0</v>
      </c>
      <c r="DK1" s="34">
        <v>45809.0</v>
      </c>
      <c r="DL1" s="34">
        <v>45839.0</v>
      </c>
      <c r="DM1" s="34">
        <v>45870.0</v>
      </c>
      <c r="DN1" s="34">
        <v>45901.0</v>
      </c>
      <c r="DO1" s="34">
        <v>45931.0</v>
      </c>
      <c r="DP1" s="34">
        <v>45962.0</v>
      </c>
      <c r="DQ1" s="34">
        <v>45992.0</v>
      </c>
      <c r="DR1" s="34">
        <v>46023.0</v>
      </c>
      <c r="DS1" s="34">
        <v>46054.0</v>
      </c>
      <c r="DT1" s="34">
        <v>46082.0</v>
      </c>
      <c r="DU1" s="34">
        <v>46113.0</v>
      </c>
      <c r="DV1" s="34">
        <v>46143.0</v>
      </c>
      <c r="DW1" s="34">
        <v>46174.0</v>
      </c>
      <c r="DX1" s="34">
        <v>46204.0</v>
      </c>
      <c r="DY1" s="34">
        <v>46235.0</v>
      </c>
      <c r="DZ1" s="34">
        <v>46266.0</v>
      </c>
      <c r="EA1" s="34">
        <v>46296.0</v>
      </c>
      <c r="EB1" s="34">
        <v>46327.0</v>
      </c>
      <c r="EC1" s="34">
        <v>46357.0</v>
      </c>
      <c r="ED1" s="34">
        <v>46388.0</v>
      </c>
      <c r="EE1" s="34">
        <v>46419.0</v>
      </c>
      <c r="EF1" s="34">
        <v>46447.0</v>
      </c>
      <c r="EG1" s="34">
        <v>46478.0</v>
      </c>
      <c r="EH1" s="34">
        <v>46508.0</v>
      </c>
      <c r="EI1" s="34">
        <v>46539.0</v>
      </c>
      <c r="EJ1" s="34">
        <v>46569.0</v>
      </c>
      <c r="EK1" s="34">
        <v>46600.0</v>
      </c>
      <c r="EL1" s="34">
        <v>46631.0</v>
      </c>
      <c r="EM1" s="34">
        <v>46661.0</v>
      </c>
      <c r="EN1" s="34">
        <v>46692.0</v>
      </c>
      <c r="EO1" s="34">
        <v>46722.0</v>
      </c>
    </row>
    <row r="2">
      <c r="A2" s="68" t="s">
        <v>75</v>
      </c>
      <c r="B2" s="48">
        <v>22516.94</v>
      </c>
      <c r="C2" s="48">
        <v>45033.88</v>
      </c>
      <c r="D2" s="48">
        <v>67550.81999999999</v>
      </c>
      <c r="E2" s="48">
        <v>90067.76</v>
      </c>
      <c r="F2" s="48">
        <v>112584.7</v>
      </c>
      <c r="G2" s="48">
        <v>135101.63999999998</v>
      </c>
      <c r="H2" s="48">
        <v>157618.58</v>
      </c>
      <c r="I2" s="48">
        <v>184073.94999999998</v>
      </c>
      <c r="J2" s="48">
        <v>210529.31999999998</v>
      </c>
      <c r="K2" s="48">
        <v>236984.68999999997</v>
      </c>
      <c r="L2" s="48">
        <v>263440.06</v>
      </c>
      <c r="M2" s="48">
        <v>325160.44</v>
      </c>
      <c r="N2" s="48">
        <v>353399.83</v>
      </c>
      <c r="O2" s="48">
        <v>381639.22000000003</v>
      </c>
      <c r="P2" s="48">
        <v>409878.61000000004</v>
      </c>
      <c r="Q2" s="48">
        <v>438118.00000000006</v>
      </c>
      <c r="R2" s="48">
        <v>466357.3900000001</v>
      </c>
      <c r="S2" s="48">
        <v>494596.7800000001</v>
      </c>
      <c r="T2" s="48">
        <v>522836.1700000001</v>
      </c>
      <c r="U2" s="48">
        <v>551075.56</v>
      </c>
      <c r="V2" s="48">
        <v>579314.9500000001</v>
      </c>
      <c r="W2" s="48">
        <v>607554.3400000001</v>
      </c>
      <c r="X2" s="48">
        <v>635793.7300000001</v>
      </c>
      <c r="Y2" s="48">
        <v>701676.2300000001</v>
      </c>
      <c r="Z2" s="48">
        <v>733610.9600000001</v>
      </c>
      <c r="AA2" s="48">
        <v>765545.6900000001</v>
      </c>
      <c r="AB2" s="48">
        <v>797480.42</v>
      </c>
      <c r="AC2" s="48">
        <v>829415.15</v>
      </c>
      <c r="AD2" s="48">
        <v>861349.88</v>
      </c>
      <c r="AE2" s="48">
        <v>893284.61</v>
      </c>
      <c r="AF2" s="48">
        <v>925219.34</v>
      </c>
      <c r="AG2" s="48">
        <v>957154.07</v>
      </c>
      <c r="AH2" s="48">
        <v>989088.7999999999</v>
      </c>
      <c r="AI2" s="48">
        <v>1021023.5299999999</v>
      </c>
      <c r="AJ2" s="48">
        <v>1052958.26</v>
      </c>
      <c r="AK2" s="48">
        <v>1128682.54</v>
      </c>
      <c r="AL2" s="48">
        <v>1162480.96</v>
      </c>
      <c r="AM2" s="48">
        <v>1196279.38</v>
      </c>
      <c r="AN2" s="48">
        <v>1230077.7999999998</v>
      </c>
      <c r="AO2" s="48">
        <v>1263876.2199999997</v>
      </c>
      <c r="AP2" s="48">
        <v>1297674.6399999997</v>
      </c>
      <c r="AQ2" s="48">
        <v>1331473.0599999996</v>
      </c>
      <c r="AR2" s="48">
        <v>1365271.4799999995</v>
      </c>
      <c r="AS2" s="48">
        <v>1399069.8999999994</v>
      </c>
      <c r="AT2" s="48">
        <v>1432868.3199999994</v>
      </c>
      <c r="AU2" s="48">
        <v>1466666.7399999993</v>
      </c>
      <c r="AV2" s="48">
        <v>1500465.1599999992</v>
      </c>
      <c r="AW2" s="48">
        <v>1579316.8699999992</v>
      </c>
      <c r="AX2" s="48">
        <v>1613685.5699999991</v>
      </c>
      <c r="AY2" s="48">
        <v>1648054.269999999</v>
      </c>
      <c r="AZ2" s="48">
        <v>1682684.5999999992</v>
      </c>
      <c r="BA2" s="48">
        <v>1717314.9299999992</v>
      </c>
      <c r="BB2" s="48">
        <v>1751945.2599999993</v>
      </c>
      <c r="BC2" s="48">
        <v>1786575.5899999994</v>
      </c>
      <c r="BD2" s="48">
        <v>1821205.9199999995</v>
      </c>
      <c r="BE2" s="48">
        <v>1855836.2499999995</v>
      </c>
      <c r="BF2" s="48">
        <v>1890466.5799999996</v>
      </c>
      <c r="BG2" s="48">
        <v>1925096.9099999997</v>
      </c>
      <c r="BH2" s="48">
        <v>1959727.2399999998</v>
      </c>
      <c r="BI2" s="48">
        <v>2040519.7999999998</v>
      </c>
      <c r="BJ2" s="48">
        <v>2076458.2799999998</v>
      </c>
      <c r="BK2" s="48">
        <v>2112396.76</v>
      </c>
      <c r="BL2" s="48">
        <v>2148335.2399999998</v>
      </c>
      <c r="BM2" s="48">
        <v>2184273.7199999997</v>
      </c>
      <c r="BN2" s="48">
        <v>2220212.1999999997</v>
      </c>
      <c r="BO2" s="48">
        <v>2256150.6799999997</v>
      </c>
      <c r="BP2" s="48">
        <v>2292089.1599999997</v>
      </c>
      <c r="BQ2" s="48">
        <v>2328027.6399999997</v>
      </c>
      <c r="BR2" s="48">
        <v>2363966.1199999996</v>
      </c>
      <c r="BS2" s="48">
        <v>2399904.5999999996</v>
      </c>
      <c r="BT2" s="48">
        <v>2435843.0799999996</v>
      </c>
      <c r="BU2" s="48">
        <v>2519687.55</v>
      </c>
      <c r="BV2" s="48">
        <v>2558522.1999999997</v>
      </c>
      <c r="BW2" s="48">
        <v>2597356.8499999996</v>
      </c>
      <c r="BX2" s="48">
        <v>2636191.4999999995</v>
      </c>
      <c r="BY2" s="48">
        <v>2675026.1499999994</v>
      </c>
      <c r="BZ2" s="48">
        <v>2713860.7999999993</v>
      </c>
      <c r="CA2" s="48">
        <v>2752695.4499999993</v>
      </c>
      <c r="CB2" s="48">
        <v>2791530.099999999</v>
      </c>
      <c r="CC2" s="48">
        <v>2830364.749999999</v>
      </c>
      <c r="CD2" s="69">
        <v>2869199.399999999</v>
      </c>
      <c r="CE2" s="69">
        <v>2908034.049999999</v>
      </c>
      <c r="CF2" s="69">
        <v>2946868.699999999</v>
      </c>
      <c r="CG2" s="69">
        <v>3037469.939999999</v>
      </c>
      <c r="CH2" s="69">
        <v>3076461.209999999</v>
      </c>
      <c r="CI2" s="69">
        <v>3115454.789999999</v>
      </c>
      <c r="CJ2" s="69">
        <v>3154448.369999999</v>
      </c>
      <c r="CK2" s="69">
        <v>3195498.4299999992</v>
      </c>
      <c r="CL2" s="69">
        <v>3236852.1099999994</v>
      </c>
      <c r="CM2" s="69">
        <v>3278205.7899999996</v>
      </c>
      <c r="CN2" s="69">
        <v>3319559.4699999997</v>
      </c>
      <c r="CO2" s="69">
        <v>3360913.15</v>
      </c>
      <c r="CP2" s="69">
        <v>3402266.83</v>
      </c>
      <c r="CQ2" s="69">
        <v>3443620.5100000002</v>
      </c>
      <c r="CR2" s="69">
        <v>3484974.1900000004</v>
      </c>
      <c r="CS2" s="69">
        <v>3581452.3300000005</v>
      </c>
      <c r="CT2" s="69">
        <v>3622806.0100000007</v>
      </c>
      <c r="CU2" s="69">
        <v>3666458.3500000006</v>
      </c>
      <c r="CV2" s="69">
        <v>3710110.6900000004</v>
      </c>
      <c r="CW2" s="69">
        <v>3753763.0300000003</v>
      </c>
      <c r="CX2" s="69">
        <v>3797415.37</v>
      </c>
      <c r="CY2" s="69">
        <v>3841067.71</v>
      </c>
      <c r="CZ2" s="69">
        <v>3884720.05</v>
      </c>
      <c r="DA2" s="69">
        <v>3928372.3899999997</v>
      </c>
      <c r="DB2" s="69">
        <v>3972024.7299999995</v>
      </c>
      <c r="DC2" s="69">
        <v>4015677.0699999994</v>
      </c>
      <c r="DD2" s="69">
        <v>4059329.409999999</v>
      </c>
      <c r="DE2" s="69">
        <v>4161170.3199999994</v>
      </c>
      <c r="DF2" s="69">
        <v>4204822.659999999</v>
      </c>
      <c r="DG2" s="69">
        <v>4250773.7299999995</v>
      </c>
      <c r="DH2" s="69">
        <v>4296724.8</v>
      </c>
      <c r="DI2" s="69">
        <v>4342675.87</v>
      </c>
      <c r="DJ2" s="69">
        <v>4388626.94</v>
      </c>
      <c r="DK2" s="69">
        <v>4434578.010000001</v>
      </c>
      <c r="DL2" s="69">
        <v>4480529.080000001</v>
      </c>
      <c r="DM2" s="69">
        <v>4526480.150000001</v>
      </c>
      <c r="DN2" s="69">
        <v>4572431.220000002</v>
      </c>
      <c r="DO2" s="69">
        <v>4618382.290000002</v>
      </c>
      <c r="DP2" s="69">
        <v>4664333.360000002</v>
      </c>
      <c r="DQ2" s="69">
        <v>4771537.210000002</v>
      </c>
      <c r="DR2" s="69">
        <v>4817488.280000002</v>
      </c>
      <c r="DS2" s="69">
        <v>4863439.350000002</v>
      </c>
      <c r="DT2" s="69">
        <v>4909390.420000003</v>
      </c>
      <c r="DU2" s="69">
        <v>4955341.490000003</v>
      </c>
      <c r="DV2" s="69">
        <v>5001292.560000003</v>
      </c>
      <c r="DW2" s="69">
        <v>5047243.630000004</v>
      </c>
      <c r="DX2" s="69">
        <v>5093194.700000004</v>
      </c>
      <c r="DY2" s="69">
        <v>5139145.770000004</v>
      </c>
      <c r="DZ2" s="69">
        <v>5185096.8400000045</v>
      </c>
      <c r="EA2" s="69">
        <v>5231047.910000005</v>
      </c>
      <c r="EB2" s="69">
        <v>5276998.980000005</v>
      </c>
      <c r="EC2" s="69">
        <v>5384202.830000005</v>
      </c>
      <c r="ED2" s="69">
        <v>5430153.900000005</v>
      </c>
      <c r="EE2" s="69">
        <v>5476104.970000005</v>
      </c>
      <c r="EF2" s="69">
        <v>5522056.040000006</v>
      </c>
      <c r="EG2" s="69">
        <v>5568007.110000006</v>
      </c>
      <c r="EH2" s="69">
        <v>5613958.180000006</v>
      </c>
      <c r="EI2" s="69">
        <v>5659909.2500000065</v>
      </c>
      <c r="EJ2" s="69">
        <v>5705860.320000007</v>
      </c>
      <c r="EK2" s="69">
        <v>5751811.390000007</v>
      </c>
      <c r="EL2" s="69">
        <v>5797762.460000007</v>
      </c>
      <c r="EM2" s="69">
        <v>5843713.530000008</v>
      </c>
      <c r="EN2" s="69">
        <v>5889664.600000008</v>
      </c>
      <c r="EO2" s="69">
        <v>5996868.450000008</v>
      </c>
    </row>
    <row r="3">
      <c r="A3" s="68" t="s">
        <v>76</v>
      </c>
      <c r="B3" s="48">
        <v>22516.95</v>
      </c>
      <c r="C3" s="48">
        <v>45033.9</v>
      </c>
      <c r="D3" s="48">
        <v>67550.85</v>
      </c>
      <c r="E3" s="48">
        <v>90067.8</v>
      </c>
      <c r="F3" s="48">
        <v>112584.75</v>
      </c>
      <c r="G3" s="48">
        <v>135101.7</v>
      </c>
      <c r="H3" s="48">
        <v>157618.65000000002</v>
      </c>
      <c r="I3" s="48">
        <v>181374.03000000003</v>
      </c>
      <c r="J3" s="48">
        <v>205129.41000000003</v>
      </c>
      <c r="K3" s="48">
        <v>228884.79000000004</v>
      </c>
      <c r="L3" s="48">
        <v>252640.17000000004</v>
      </c>
      <c r="M3" s="48">
        <v>308061.47000000003</v>
      </c>
      <c r="N3" s="48">
        <v>333474.80000000005</v>
      </c>
      <c r="O3" s="48">
        <v>358888.13000000006</v>
      </c>
      <c r="P3" s="48">
        <v>384301.4600000001</v>
      </c>
      <c r="Q3" s="48">
        <v>409714.7900000001</v>
      </c>
      <c r="R3" s="48">
        <v>435128.1200000001</v>
      </c>
      <c r="S3" s="48">
        <v>460541.4500000001</v>
      </c>
      <c r="T3" s="48">
        <v>485954.78000000014</v>
      </c>
      <c r="U3" s="48">
        <v>511368.11000000016</v>
      </c>
      <c r="V3" s="48">
        <v>536781.4400000002</v>
      </c>
      <c r="W3" s="48">
        <v>562194.7700000001</v>
      </c>
      <c r="X3" s="48">
        <v>587608.1000000001</v>
      </c>
      <c r="Y3" s="48">
        <v>646897.3900000001</v>
      </c>
      <c r="Z3" s="48">
        <v>673998.0300000001</v>
      </c>
      <c r="AA3" s="48">
        <v>701098.6700000002</v>
      </c>
      <c r="AB3" s="48">
        <v>728199.3100000002</v>
      </c>
      <c r="AC3" s="48">
        <v>755299.9500000002</v>
      </c>
      <c r="AD3" s="48">
        <v>782400.5900000002</v>
      </c>
      <c r="AE3" s="48">
        <v>809501.2300000002</v>
      </c>
      <c r="AF3" s="48">
        <v>836601.8700000002</v>
      </c>
      <c r="AG3" s="48">
        <v>863702.5100000002</v>
      </c>
      <c r="AH3" s="48">
        <v>890803.1500000003</v>
      </c>
      <c r="AI3" s="48">
        <v>917903.7900000003</v>
      </c>
      <c r="AJ3" s="48">
        <v>945004.4300000003</v>
      </c>
      <c r="AK3" s="48">
        <v>1008230.2300000003</v>
      </c>
      <c r="AL3" s="48">
        <v>1037040.4100000004</v>
      </c>
      <c r="AM3" s="48">
        <v>1065850.5900000003</v>
      </c>
      <c r="AN3" s="48">
        <v>1094660.7700000003</v>
      </c>
      <c r="AO3" s="48">
        <v>1123470.9500000002</v>
      </c>
      <c r="AP3" s="48">
        <v>1152281.1300000001</v>
      </c>
      <c r="AQ3" s="48">
        <v>1181091.31</v>
      </c>
      <c r="AR3" s="48">
        <v>1209901.49</v>
      </c>
      <c r="AS3" s="48">
        <v>1238711.67</v>
      </c>
      <c r="AT3" s="48">
        <v>1267521.8499999999</v>
      </c>
      <c r="AU3" s="48">
        <v>1296332.0299999998</v>
      </c>
      <c r="AV3" s="48">
        <v>1325142.2099999997</v>
      </c>
      <c r="AW3" s="48">
        <v>1392356.3599999996</v>
      </c>
      <c r="AX3" s="48">
        <v>1421166.5399999996</v>
      </c>
      <c r="AY3" s="48">
        <v>1449976.7199999995</v>
      </c>
      <c r="AZ3" s="48">
        <v>1478786.8999999994</v>
      </c>
      <c r="BA3" s="48">
        <v>1507597.0799999994</v>
      </c>
      <c r="BB3" s="48">
        <v>1536407.2599999993</v>
      </c>
      <c r="BC3" s="48">
        <v>1565217.4399999992</v>
      </c>
      <c r="BD3" s="48">
        <v>1594027.6199999992</v>
      </c>
      <c r="BE3" s="48">
        <v>1622837.799999999</v>
      </c>
      <c r="BF3" s="48">
        <v>1651647.979999999</v>
      </c>
      <c r="BG3" s="48">
        <v>1680458.159999999</v>
      </c>
      <c r="BH3" s="48">
        <v>1709268.339999999</v>
      </c>
      <c r="BI3" s="48">
        <v>1776482.4899999988</v>
      </c>
      <c r="BJ3" s="48">
        <v>1805292.6699999988</v>
      </c>
      <c r="BK3" s="48">
        <v>1834102.8499999987</v>
      </c>
      <c r="BL3" s="48">
        <v>1862913.0299999986</v>
      </c>
      <c r="BM3" s="48">
        <v>1891723.2099999986</v>
      </c>
      <c r="BN3" s="48">
        <v>1920533.3899999985</v>
      </c>
      <c r="BO3" s="48">
        <v>1949343.5699999984</v>
      </c>
      <c r="BP3" s="48">
        <v>1978153.7499999984</v>
      </c>
      <c r="BQ3" s="48">
        <v>2006963.9299999983</v>
      </c>
      <c r="BR3" s="48">
        <v>2035774.1099999982</v>
      </c>
      <c r="BS3" s="48">
        <v>2064584.2899999982</v>
      </c>
      <c r="BT3" s="48">
        <v>2093394.469999998</v>
      </c>
      <c r="BU3" s="48">
        <v>2160608.6199999982</v>
      </c>
      <c r="BV3" s="48">
        <v>2189418.7999999984</v>
      </c>
      <c r="BW3" s="48">
        <v>2218228.9799999986</v>
      </c>
      <c r="BX3" s="48">
        <v>2247039.1599999988</v>
      </c>
      <c r="BY3" s="48">
        <v>2275849.339999999</v>
      </c>
      <c r="BZ3" s="48">
        <v>2304659.519999999</v>
      </c>
      <c r="CA3" s="48">
        <v>2333469.6999999993</v>
      </c>
      <c r="CB3" s="48">
        <v>2362279.8799999994</v>
      </c>
      <c r="CC3" s="48">
        <v>2391090.0599999996</v>
      </c>
      <c r="CD3" s="69">
        <v>2419900.2399999998</v>
      </c>
      <c r="CE3" s="69">
        <v>2448710.42</v>
      </c>
      <c r="CF3" s="69">
        <v>2477520.6</v>
      </c>
      <c r="CG3" s="69">
        <v>2544734.75</v>
      </c>
      <c r="CH3" s="69">
        <v>2573544.93</v>
      </c>
      <c r="CI3" s="69">
        <v>2602355.1100000003</v>
      </c>
      <c r="CJ3" s="69">
        <v>2631165.2900000005</v>
      </c>
      <c r="CK3" s="69">
        <v>2659975.4700000007</v>
      </c>
      <c r="CL3" s="69">
        <v>2691378.5600000005</v>
      </c>
      <c r="CM3" s="69">
        <v>2722781.6500000004</v>
      </c>
      <c r="CN3" s="69">
        <v>2754184.74</v>
      </c>
      <c r="CO3" s="69">
        <v>2785587.83</v>
      </c>
      <c r="CP3" s="69">
        <v>2816990.92</v>
      </c>
      <c r="CQ3" s="69">
        <v>2848394.01</v>
      </c>
      <c r="CR3" s="69">
        <v>2879797.0999999996</v>
      </c>
      <c r="CS3" s="69">
        <v>2953060.5199999996</v>
      </c>
      <c r="CT3" s="69">
        <v>2984463.6099999994</v>
      </c>
      <c r="CU3" s="69">
        <v>3015866.6999999993</v>
      </c>
      <c r="CV3" s="69">
        <v>3047269.789999999</v>
      </c>
      <c r="CW3" s="69">
        <v>3078672.879999999</v>
      </c>
      <c r="CX3" s="69">
        <v>3110075.969999999</v>
      </c>
      <c r="CY3" s="69">
        <v>3141479.0599999987</v>
      </c>
      <c r="CZ3" s="69">
        <v>3172882.1499999985</v>
      </c>
      <c r="DA3" s="69">
        <v>3204285.2399999984</v>
      </c>
      <c r="DB3" s="69">
        <v>3235688.329999998</v>
      </c>
      <c r="DC3" s="69">
        <v>3267091.419999998</v>
      </c>
      <c r="DD3" s="69">
        <v>3298494.509999998</v>
      </c>
      <c r="DE3" s="69">
        <v>3371757.929999998</v>
      </c>
      <c r="DF3" s="69">
        <v>3406585.399999998</v>
      </c>
      <c r="DG3" s="69">
        <v>3441412.8699999982</v>
      </c>
      <c r="DH3" s="69">
        <v>3476240.3399999985</v>
      </c>
      <c r="DI3" s="69">
        <v>3511067.8099999987</v>
      </c>
      <c r="DJ3" s="69">
        <v>3545895.279999999</v>
      </c>
      <c r="DK3" s="69">
        <v>3580722.749999999</v>
      </c>
      <c r="DL3" s="69">
        <v>3615550.2199999993</v>
      </c>
      <c r="DM3" s="69">
        <v>3650377.6899999995</v>
      </c>
      <c r="DN3" s="69">
        <v>3685205.1599999997</v>
      </c>
      <c r="DO3" s="69">
        <v>3720032.63</v>
      </c>
      <c r="DP3" s="69">
        <v>3754860.1</v>
      </c>
      <c r="DQ3" s="69">
        <v>3836112.6</v>
      </c>
      <c r="DR3" s="69">
        <v>3870940.0700000003</v>
      </c>
      <c r="DS3" s="69">
        <v>3905767.5400000005</v>
      </c>
      <c r="DT3" s="69">
        <v>3940595.0100000007</v>
      </c>
      <c r="DU3" s="69">
        <v>3979220.2700000005</v>
      </c>
      <c r="DV3" s="69">
        <v>4017845.5300000003</v>
      </c>
      <c r="DW3" s="69">
        <v>4056470.79</v>
      </c>
      <c r="DX3" s="69">
        <v>4095096.05</v>
      </c>
      <c r="DY3" s="69">
        <v>4133721.3099999996</v>
      </c>
      <c r="DZ3" s="69">
        <v>4172346.5699999994</v>
      </c>
      <c r="EA3" s="69">
        <v>4210971.829999999</v>
      </c>
      <c r="EB3" s="69">
        <v>4249597.089999999</v>
      </c>
      <c r="EC3" s="69">
        <v>4339709.829999999</v>
      </c>
      <c r="ED3" s="69">
        <v>4378335.089999999</v>
      </c>
      <c r="EE3" s="69">
        <v>4416960.349999999</v>
      </c>
      <c r="EF3" s="69">
        <v>4455585.6099999985</v>
      </c>
      <c r="EG3" s="69">
        <v>4494210.869999998</v>
      </c>
      <c r="EH3" s="69">
        <v>4532836.129999998</v>
      </c>
      <c r="EI3" s="69">
        <v>4571461.389999998</v>
      </c>
      <c r="EJ3" s="69">
        <v>4610086.649999998</v>
      </c>
      <c r="EK3" s="69">
        <v>4648711.909999997</v>
      </c>
      <c r="EL3" s="69">
        <v>4687337.169999997</v>
      </c>
      <c r="EM3" s="69">
        <v>4725962.429999997</v>
      </c>
      <c r="EN3" s="69">
        <v>4764587.689999997</v>
      </c>
      <c r="EO3" s="69">
        <v>4854700.429999997</v>
      </c>
    </row>
    <row r="4">
      <c r="A4" s="68" t="s">
        <v>77</v>
      </c>
      <c r="B4" s="48">
        <v>22516.88</v>
      </c>
      <c r="C4" s="48">
        <v>45033.76</v>
      </c>
      <c r="D4" s="48">
        <v>67550.64</v>
      </c>
      <c r="E4" s="48">
        <v>90067.52</v>
      </c>
      <c r="F4" s="48">
        <v>112584.40000000001</v>
      </c>
      <c r="G4" s="48">
        <v>135101.28</v>
      </c>
      <c r="H4" s="48">
        <v>157618.16</v>
      </c>
      <c r="I4" s="48">
        <v>180135.04</v>
      </c>
      <c r="J4" s="48">
        <v>205351.92</v>
      </c>
      <c r="K4" s="48">
        <v>230568.80000000002</v>
      </c>
      <c r="L4" s="48">
        <v>255785.68000000002</v>
      </c>
      <c r="M4" s="48">
        <v>314616.66000000003</v>
      </c>
      <c r="N4" s="48">
        <v>342259.73000000004</v>
      </c>
      <c r="O4" s="48">
        <v>369902.80000000005</v>
      </c>
      <c r="P4" s="48">
        <v>397545.87000000005</v>
      </c>
      <c r="Q4" s="48">
        <v>425188.94000000006</v>
      </c>
      <c r="R4" s="48">
        <v>452832.01000000007</v>
      </c>
      <c r="S4" s="48">
        <v>480475.0800000001</v>
      </c>
      <c r="T4" s="48">
        <v>508118.1500000001</v>
      </c>
      <c r="U4" s="48">
        <v>535761.2200000001</v>
      </c>
      <c r="V4" s="48">
        <v>563404.29</v>
      </c>
      <c r="W4" s="48">
        <v>591047.36</v>
      </c>
      <c r="X4" s="48">
        <v>618690.4299999999</v>
      </c>
      <c r="Y4" s="48">
        <v>683181.71</v>
      </c>
      <c r="Z4" s="48">
        <v>712009.58</v>
      </c>
      <c r="AA4" s="48">
        <v>740837.45</v>
      </c>
      <c r="AB4" s="48">
        <v>769665.32</v>
      </c>
      <c r="AC4" s="48">
        <v>798493.19</v>
      </c>
      <c r="AD4" s="48">
        <v>827321.0599999999</v>
      </c>
      <c r="AE4" s="48">
        <v>856148.9299999999</v>
      </c>
      <c r="AF4" s="48">
        <v>884976.7999999999</v>
      </c>
      <c r="AG4" s="48">
        <v>913804.6699999999</v>
      </c>
      <c r="AH4" s="48">
        <v>942632.5399999999</v>
      </c>
      <c r="AI4" s="48">
        <v>971460.4099999999</v>
      </c>
      <c r="AJ4" s="48">
        <v>1000288.2799999999</v>
      </c>
      <c r="AK4" s="48">
        <v>1067543.7</v>
      </c>
      <c r="AL4" s="48">
        <v>1097547.32</v>
      </c>
      <c r="AM4" s="48">
        <v>1127550.9400000002</v>
      </c>
      <c r="AN4" s="48">
        <v>1157554.5600000003</v>
      </c>
      <c r="AO4" s="48">
        <v>1187558.1800000004</v>
      </c>
      <c r="AP4" s="48">
        <v>1217561.8000000005</v>
      </c>
      <c r="AQ4" s="48">
        <v>1247565.4200000006</v>
      </c>
      <c r="AR4" s="48">
        <v>1277569.0400000007</v>
      </c>
      <c r="AS4" s="48">
        <v>1307572.6600000008</v>
      </c>
      <c r="AT4" s="48">
        <v>1337576.280000001</v>
      </c>
      <c r="AU4" s="48">
        <v>1367579.900000001</v>
      </c>
      <c r="AV4" s="48">
        <v>1397583.5200000012</v>
      </c>
      <c r="AW4" s="48">
        <v>1467581.9700000011</v>
      </c>
      <c r="AX4" s="48">
        <v>1497585.5900000012</v>
      </c>
      <c r="AY4" s="48">
        <v>1527589.2100000014</v>
      </c>
      <c r="AZ4" s="48">
        <v>1557592.8300000015</v>
      </c>
      <c r="BA4" s="48">
        <v>1587596.4500000016</v>
      </c>
      <c r="BB4" s="48">
        <v>1617600.0700000017</v>
      </c>
      <c r="BC4" s="48">
        <v>1647603.6900000018</v>
      </c>
      <c r="BD4" s="48">
        <v>1677607.310000002</v>
      </c>
      <c r="BE4" s="48">
        <v>1707610.930000002</v>
      </c>
      <c r="BF4" s="48">
        <v>1737614.5500000021</v>
      </c>
      <c r="BG4" s="48">
        <v>1767618.1700000023</v>
      </c>
      <c r="BH4" s="48">
        <v>1797621.7900000024</v>
      </c>
      <c r="BI4" s="48">
        <v>1867620.2400000023</v>
      </c>
      <c r="BJ4" s="48">
        <v>1897623.8600000024</v>
      </c>
      <c r="BK4" s="48">
        <v>1927627.4800000025</v>
      </c>
      <c r="BL4" s="48">
        <v>1957631.1000000027</v>
      </c>
      <c r="BM4" s="48">
        <v>1987634.7200000028</v>
      </c>
      <c r="BN4" s="48">
        <v>2017638.3400000029</v>
      </c>
      <c r="BO4" s="48">
        <v>2047641.960000003</v>
      </c>
      <c r="BP4" s="48">
        <v>2077645.580000003</v>
      </c>
      <c r="BQ4" s="48">
        <v>2107649.200000003</v>
      </c>
      <c r="BR4" s="48">
        <v>2137652.820000003</v>
      </c>
      <c r="BS4" s="48">
        <v>2167656.440000003</v>
      </c>
      <c r="BT4" s="48">
        <v>2197660.0600000033</v>
      </c>
      <c r="BU4" s="48">
        <v>2267658.5100000035</v>
      </c>
      <c r="BV4" s="48">
        <v>2297662.1300000036</v>
      </c>
      <c r="BW4" s="48">
        <v>2327665.7500000037</v>
      </c>
      <c r="BX4" s="48">
        <v>2357669.370000004</v>
      </c>
      <c r="BY4" s="48">
        <v>2387672.990000004</v>
      </c>
      <c r="BZ4" s="48">
        <v>2417676.610000004</v>
      </c>
      <c r="CA4" s="48">
        <v>2447680.230000004</v>
      </c>
      <c r="CB4" s="48">
        <v>2477683.8500000043</v>
      </c>
      <c r="CC4" s="48">
        <v>2507687.4700000044</v>
      </c>
      <c r="CD4" s="69">
        <v>2537691.0900000045</v>
      </c>
      <c r="CE4" s="69">
        <v>2567694.7100000046</v>
      </c>
      <c r="CF4" s="69">
        <v>2597698.3300000047</v>
      </c>
      <c r="CG4" s="69">
        <v>2667696.780000005</v>
      </c>
      <c r="CH4" s="69">
        <v>2697700.400000005</v>
      </c>
      <c r="CI4" s="69">
        <v>2727704.020000005</v>
      </c>
      <c r="CJ4" s="69">
        <v>2757707.6400000053</v>
      </c>
      <c r="CK4" s="69">
        <v>2787711.2600000054</v>
      </c>
      <c r="CL4" s="69">
        <v>2820172.2100000056</v>
      </c>
      <c r="CM4" s="69">
        <v>2852633.1600000057</v>
      </c>
      <c r="CN4" s="69">
        <v>2885094.110000006</v>
      </c>
      <c r="CO4" s="69">
        <v>2917555.060000006</v>
      </c>
      <c r="CP4" s="69">
        <v>2950016.0100000063</v>
      </c>
      <c r="CQ4" s="69">
        <v>2982476.9600000065</v>
      </c>
      <c r="CR4" s="69">
        <v>3014937.9100000067</v>
      </c>
      <c r="CS4" s="69">
        <v>3090669.3100000066</v>
      </c>
      <c r="CT4" s="69">
        <v>3123130.2600000068</v>
      </c>
      <c r="CU4" s="69">
        <v>3156941.210000007</v>
      </c>
      <c r="CV4" s="69">
        <v>3190752.160000007</v>
      </c>
      <c r="CW4" s="69">
        <v>3224563.1100000073</v>
      </c>
      <c r="CX4" s="69">
        <v>3258374.0600000075</v>
      </c>
      <c r="CY4" s="69">
        <v>3292185.0100000077</v>
      </c>
      <c r="CZ4" s="69">
        <v>3325995.960000008</v>
      </c>
      <c r="DA4" s="69">
        <v>3360256.910000008</v>
      </c>
      <c r="DB4" s="69">
        <v>3394517.8600000083</v>
      </c>
      <c r="DC4" s="69">
        <v>3428778.8100000084</v>
      </c>
      <c r="DD4" s="69">
        <v>3463039.7600000086</v>
      </c>
      <c r="DE4" s="69">
        <v>3542970.5600000084</v>
      </c>
      <c r="DF4" s="69">
        <v>3577231.5100000086</v>
      </c>
      <c r="DG4" s="69">
        <v>3613292.460000009</v>
      </c>
      <c r="DH4" s="69">
        <v>3649353.410000009</v>
      </c>
      <c r="DI4" s="69">
        <v>3685414.360000009</v>
      </c>
      <c r="DJ4" s="69">
        <v>3721475.3100000094</v>
      </c>
      <c r="DK4" s="69">
        <v>3757536.2600000096</v>
      </c>
      <c r="DL4" s="69">
        <v>3793597.2100000097</v>
      </c>
      <c r="DM4" s="69">
        <v>3829658.16000001</v>
      </c>
      <c r="DN4" s="69">
        <v>3865719.11000001</v>
      </c>
      <c r="DO4" s="69">
        <v>3901780.0600000103</v>
      </c>
      <c r="DP4" s="69">
        <v>3937841.0100000105</v>
      </c>
      <c r="DQ4" s="69">
        <v>4021971.2100000107</v>
      </c>
      <c r="DR4" s="69">
        <v>4058032.160000011</v>
      </c>
      <c r="DS4" s="69">
        <v>4094093.110000011</v>
      </c>
      <c r="DT4" s="69">
        <v>4130154.060000011</v>
      </c>
      <c r="DU4" s="69">
        <v>4170265.0100000114</v>
      </c>
      <c r="DV4" s="69">
        <v>4210375.960000011</v>
      </c>
      <c r="DW4" s="69">
        <v>4250486.910000011</v>
      </c>
      <c r="DX4" s="69">
        <v>4290597.8600000115</v>
      </c>
      <c r="DY4" s="69">
        <v>4330708.810000012</v>
      </c>
      <c r="DZ4" s="69">
        <v>4370819.760000012</v>
      </c>
      <c r="EA4" s="69">
        <v>4410930.710000012</v>
      </c>
      <c r="EB4" s="69">
        <v>4451041.660000012</v>
      </c>
      <c r="EC4" s="69">
        <v>4544620.510000012</v>
      </c>
      <c r="ED4" s="69">
        <v>4584731.460000012</v>
      </c>
      <c r="EE4" s="69">
        <v>4625204.660000012</v>
      </c>
      <c r="EF4" s="69">
        <v>4665677.860000012</v>
      </c>
      <c r="EG4" s="69">
        <v>4706151.060000013</v>
      </c>
      <c r="EH4" s="69">
        <v>4746624.260000013</v>
      </c>
      <c r="EI4" s="69">
        <v>4787097.460000013</v>
      </c>
      <c r="EJ4" s="69">
        <v>4827570.660000013</v>
      </c>
      <c r="EK4" s="69">
        <v>4868043.860000013</v>
      </c>
      <c r="EL4" s="69">
        <v>4908517.060000014</v>
      </c>
      <c r="EM4" s="69">
        <v>4948990.260000014</v>
      </c>
      <c r="EN4" s="69">
        <v>4989463.460000014</v>
      </c>
      <c r="EO4" s="69">
        <v>5083887.440000014</v>
      </c>
    </row>
    <row r="5">
      <c r="A5" s="68" t="s">
        <v>78</v>
      </c>
      <c r="B5" s="48">
        <v>22516.95</v>
      </c>
      <c r="C5" s="48">
        <v>45033.9</v>
      </c>
      <c r="D5" s="48">
        <v>67550.85</v>
      </c>
      <c r="E5" s="48">
        <v>90067.8</v>
      </c>
      <c r="F5" s="48">
        <v>112584.75</v>
      </c>
      <c r="G5" s="48">
        <v>135101.7</v>
      </c>
      <c r="H5" s="48">
        <v>157618.65000000002</v>
      </c>
      <c r="I5" s="48">
        <v>181374.03000000003</v>
      </c>
      <c r="J5" s="48">
        <v>205129.41000000003</v>
      </c>
      <c r="K5" s="48">
        <v>228884.79000000004</v>
      </c>
      <c r="L5" s="48">
        <v>252640.17000000004</v>
      </c>
      <c r="M5" s="48">
        <v>308061.47000000003</v>
      </c>
      <c r="N5" s="48">
        <v>333474.80000000005</v>
      </c>
      <c r="O5" s="48">
        <v>358888.13000000006</v>
      </c>
      <c r="P5" s="48">
        <v>384301.4600000001</v>
      </c>
      <c r="Q5" s="48">
        <v>409714.7900000001</v>
      </c>
      <c r="R5" s="48">
        <v>435128.1200000001</v>
      </c>
      <c r="S5" s="48">
        <v>460541.4500000001</v>
      </c>
      <c r="T5" s="48">
        <v>485954.78000000014</v>
      </c>
      <c r="U5" s="48">
        <v>511368.11000000016</v>
      </c>
      <c r="V5" s="48">
        <v>536781.4400000002</v>
      </c>
      <c r="W5" s="48">
        <v>562194.7700000001</v>
      </c>
      <c r="X5" s="48">
        <v>587608.1000000001</v>
      </c>
      <c r="Y5" s="48">
        <v>646897.3900000001</v>
      </c>
      <c r="Z5" s="48">
        <v>673998.0300000001</v>
      </c>
      <c r="AA5" s="48">
        <v>701098.6700000002</v>
      </c>
      <c r="AB5" s="48">
        <v>728199.3100000002</v>
      </c>
      <c r="AC5" s="48">
        <v>755299.9500000002</v>
      </c>
      <c r="AD5" s="48">
        <v>782400.5900000002</v>
      </c>
      <c r="AE5" s="48">
        <v>809501.2300000002</v>
      </c>
      <c r="AF5" s="48">
        <v>836601.8700000002</v>
      </c>
      <c r="AG5" s="48">
        <v>863702.5100000002</v>
      </c>
      <c r="AH5" s="48">
        <v>890803.1500000003</v>
      </c>
      <c r="AI5" s="48">
        <v>917903.7900000003</v>
      </c>
      <c r="AJ5" s="48">
        <v>945004.4300000003</v>
      </c>
      <c r="AK5" s="48">
        <v>1008230.2300000003</v>
      </c>
      <c r="AL5" s="48">
        <v>1037040.4100000004</v>
      </c>
      <c r="AM5" s="48">
        <v>1065850.5900000003</v>
      </c>
      <c r="AN5" s="48">
        <v>1094660.7700000003</v>
      </c>
      <c r="AO5" s="48">
        <v>1123470.9500000002</v>
      </c>
      <c r="AP5" s="48">
        <v>1152281.1300000001</v>
      </c>
      <c r="AQ5" s="48">
        <v>1181091.31</v>
      </c>
      <c r="AR5" s="48">
        <v>1209901.49</v>
      </c>
      <c r="AS5" s="48">
        <v>1238711.67</v>
      </c>
      <c r="AT5" s="48">
        <v>1267521.8499999999</v>
      </c>
      <c r="AU5" s="48">
        <v>1296332.0299999998</v>
      </c>
      <c r="AV5" s="48">
        <v>1325142.2099999997</v>
      </c>
      <c r="AW5" s="48">
        <v>1392356.3599999996</v>
      </c>
      <c r="AX5" s="48">
        <v>1421166.5399999996</v>
      </c>
      <c r="AY5" s="48">
        <v>1449976.7199999995</v>
      </c>
      <c r="AZ5" s="48">
        <v>1478786.8999999994</v>
      </c>
      <c r="BA5" s="48">
        <v>1507597.0799999994</v>
      </c>
      <c r="BB5" s="48">
        <v>1536407.2599999993</v>
      </c>
      <c r="BC5" s="48">
        <v>1565217.4399999992</v>
      </c>
      <c r="BD5" s="48">
        <v>1594027.6199999992</v>
      </c>
      <c r="BE5" s="48">
        <v>1622837.799999999</v>
      </c>
      <c r="BF5" s="48">
        <v>1651647.979999999</v>
      </c>
      <c r="BG5" s="48">
        <v>1680458.159999999</v>
      </c>
      <c r="BH5" s="48">
        <v>1709268.339999999</v>
      </c>
      <c r="BI5" s="48">
        <v>1776482.4899999988</v>
      </c>
      <c r="BJ5" s="48">
        <v>1805292.6699999988</v>
      </c>
      <c r="BK5" s="48">
        <v>1834102.8499999987</v>
      </c>
      <c r="BL5" s="48">
        <v>1862913.0299999986</v>
      </c>
      <c r="BM5" s="48">
        <v>1891723.2099999986</v>
      </c>
      <c r="BN5" s="48">
        <v>1920533.3899999985</v>
      </c>
      <c r="BO5" s="48">
        <v>1949343.5699999984</v>
      </c>
      <c r="BP5" s="48">
        <v>1978153.7499999984</v>
      </c>
      <c r="BQ5" s="48">
        <v>2006963.9299999983</v>
      </c>
      <c r="BR5" s="48">
        <v>2035774.1099999982</v>
      </c>
      <c r="BS5" s="48">
        <v>2064584.2899999982</v>
      </c>
      <c r="BT5" s="48">
        <v>2093394.469999998</v>
      </c>
      <c r="BU5" s="48">
        <v>2160608.6199999982</v>
      </c>
      <c r="BV5" s="48">
        <v>2189418.7999999984</v>
      </c>
      <c r="BW5" s="48">
        <v>2218228.9799999986</v>
      </c>
      <c r="BX5" s="48">
        <v>2247039.1599999988</v>
      </c>
      <c r="BY5" s="48">
        <v>2275849.339999999</v>
      </c>
      <c r="BZ5" s="48">
        <v>2304659.519999999</v>
      </c>
      <c r="CA5" s="48">
        <v>2333469.6999999993</v>
      </c>
      <c r="CB5" s="48">
        <v>2362279.8799999994</v>
      </c>
      <c r="CC5" s="48">
        <v>2391090.0599999996</v>
      </c>
      <c r="CD5" s="69">
        <v>2419900.2399999998</v>
      </c>
      <c r="CE5" s="69">
        <v>2448710.42</v>
      </c>
      <c r="CF5" s="69">
        <v>2477520.6</v>
      </c>
      <c r="CG5" s="69">
        <v>2544734.75</v>
      </c>
      <c r="CH5" s="69">
        <v>2573544.93</v>
      </c>
      <c r="CI5" s="69">
        <v>2602355.1100000003</v>
      </c>
      <c r="CJ5" s="69">
        <v>2631165.2900000005</v>
      </c>
      <c r="CK5" s="69">
        <v>2659975.4700000007</v>
      </c>
      <c r="CL5" s="69">
        <v>2691378.5600000005</v>
      </c>
      <c r="CM5" s="69">
        <v>2722781.6500000004</v>
      </c>
      <c r="CN5" s="69">
        <v>2754184.74</v>
      </c>
      <c r="CO5" s="69">
        <v>2785587.83</v>
      </c>
      <c r="CP5" s="69">
        <v>2816990.92</v>
      </c>
      <c r="CQ5" s="69">
        <v>2848394.01</v>
      </c>
      <c r="CR5" s="69">
        <v>2879797.0999999996</v>
      </c>
      <c r="CS5" s="69">
        <v>2953060.5199999996</v>
      </c>
      <c r="CT5" s="69">
        <v>2984463.6099999994</v>
      </c>
      <c r="CU5" s="69">
        <v>3015866.6999999993</v>
      </c>
      <c r="CV5" s="69">
        <v>3047269.789999999</v>
      </c>
      <c r="CW5" s="69">
        <v>3078672.879999999</v>
      </c>
      <c r="CX5" s="69">
        <v>3110075.969999999</v>
      </c>
      <c r="CY5" s="69">
        <v>3141479.0599999987</v>
      </c>
      <c r="CZ5" s="69">
        <v>3172882.1499999985</v>
      </c>
      <c r="DA5" s="69">
        <v>3204285.2399999984</v>
      </c>
      <c r="DB5" s="69">
        <v>3235688.329999998</v>
      </c>
      <c r="DC5" s="69">
        <v>3267091.419999998</v>
      </c>
      <c r="DD5" s="69">
        <v>3298494.509999998</v>
      </c>
      <c r="DE5" s="69">
        <v>3371757.929999998</v>
      </c>
      <c r="DF5" s="69">
        <v>3406585.399999998</v>
      </c>
      <c r="DG5" s="69">
        <v>3441412.8699999982</v>
      </c>
      <c r="DH5" s="69">
        <v>3476240.3399999985</v>
      </c>
      <c r="DI5" s="69">
        <v>3511067.8099999987</v>
      </c>
      <c r="DJ5" s="69">
        <v>3545895.279999999</v>
      </c>
      <c r="DK5" s="69">
        <v>3580722.749999999</v>
      </c>
      <c r="DL5" s="69">
        <v>3615550.2199999993</v>
      </c>
      <c r="DM5" s="69">
        <v>3650377.6899999995</v>
      </c>
      <c r="DN5" s="69">
        <v>3685205.1599999997</v>
      </c>
      <c r="DO5" s="69">
        <v>3720032.63</v>
      </c>
      <c r="DP5" s="69">
        <v>3754860.1</v>
      </c>
      <c r="DQ5" s="69">
        <v>3836112.6</v>
      </c>
      <c r="DR5" s="69">
        <v>3870940.0700000003</v>
      </c>
      <c r="DS5" s="69">
        <v>3905767.5400000005</v>
      </c>
      <c r="DT5" s="69">
        <v>3940595.0100000007</v>
      </c>
      <c r="DU5" s="69">
        <v>3979220.2700000005</v>
      </c>
      <c r="DV5" s="69">
        <v>4017845.5300000003</v>
      </c>
      <c r="DW5" s="69">
        <v>4056470.79</v>
      </c>
      <c r="DX5" s="69">
        <v>4095096.05</v>
      </c>
      <c r="DY5" s="69">
        <v>4133721.3099999996</v>
      </c>
      <c r="DZ5" s="69">
        <v>4172346.5699999994</v>
      </c>
      <c r="EA5" s="69">
        <v>4210971.829999999</v>
      </c>
      <c r="EB5" s="69">
        <v>4249597.089999999</v>
      </c>
      <c r="EC5" s="69">
        <v>4339709.829999999</v>
      </c>
      <c r="ED5" s="69">
        <v>4378335.089999999</v>
      </c>
      <c r="EE5" s="69">
        <v>4416960.349999999</v>
      </c>
      <c r="EF5" s="69">
        <v>4455585.6099999985</v>
      </c>
      <c r="EG5" s="69">
        <v>4494210.869999998</v>
      </c>
      <c r="EH5" s="69">
        <v>4532836.129999998</v>
      </c>
      <c r="EI5" s="69">
        <v>4571461.389999998</v>
      </c>
      <c r="EJ5" s="69">
        <v>4610086.649999998</v>
      </c>
      <c r="EK5" s="69">
        <v>4648711.909999997</v>
      </c>
      <c r="EL5" s="69">
        <v>4687337.169999997</v>
      </c>
      <c r="EM5" s="69">
        <v>4725962.429999997</v>
      </c>
      <c r="EN5" s="69">
        <v>4764587.689999997</v>
      </c>
      <c r="EO5" s="69">
        <v>4854700.429999997</v>
      </c>
    </row>
    <row r="6">
      <c r="A6" s="68" t="s">
        <v>79</v>
      </c>
      <c r="B6" s="48">
        <v>21391.1</v>
      </c>
      <c r="C6" s="48">
        <v>42782.2</v>
      </c>
      <c r="D6" s="48">
        <v>64173.299999999996</v>
      </c>
      <c r="E6" s="48">
        <v>85564.4</v>
      </c>
      <c r="F6" s="48">
        <v>106955.5</v>
      </c>
      <c r="G6" s="48">
        <v>128346.6</v>
      </c>
      <c r="H6" s="48">
        <v>149737.7</v>
      </c>
      <c r="I6" s="48">
        <v>172305.31</v>
      </c>
      <c r="J6" s="48">
        <v>194872.91999999998</v>
      </c>
      <c r="K6" s="48">
        <v>217440.52999999997</v>
      </c>
      <c r="L6" s="48">
        <v>240008.13999999996</v>
      </c>
      <c r="M6" s="48">
        <v>292658.36999999994</v>
      </c>
      <c r="N6" s="48">
        <v>316801.0299999999</v>
      </c>
      <c r="O6" s="48">
        <v>340943.6899999999</v>
      </c>
      <c r="P6" s="48">
        <v>365086.34999999986</v>
      </c>
      <c r="Q6" s="48">
        <v>389229.00999999983</v>
      </c>
      <c r="R6" s="48">
        <v>413371.6699999998</v>
      </c>
      <c r="S6" s="48">
        <v>437514.3299999998</v>
      </c>
      <c r="T6" s="48">
        <v>461656.98999999976</v>
      </c>
      <c r="U6" s="48">
        <v>485799.64999999973</v>
      </c>
      <c r="V6" s="48">
        <v>509942.3099999997</v>
      </c>
      <c r="W6" s="48">
        <v>534084.9699999997</v>
      </c>
      <c r="X6" s="48">
        <v>558227.6299999998</v>
      </c>
      <c r="Y6" s="48">
        <v>614552.4599999997</v>
      </c>
      <c r="Z6" s="48">
        <v>640298.0699999997</v>
      </c>
      <c r="AA6" s="48">
        <v>666043.6799999997</v>
      </c>
      <c r="AB6" s="48">
        <v>691789.2899999997</v>
      </c>
      <c r="AC6" s="48">
        <v>717534.8999999997</v>
      </c>
      <c r="AD6" s="48">
        <v>743280.5099999997</v>
      </c>
      <c r="AE6" s="48">
        <v>769026.1199999996</v>
      </c>
      <c r="AF6" s="48">
        <v>794771.7299999996</v>
      </c>
      <c r="AG6" s="48">
        <v>820517.3399999996</v>
      </c>
      <c r="AH6" s="48">
        <v>846262.9499999996</v>
      </c>
      <c r="AI6" s="48">
        <v>872008.5599999996</v>
      </c>
      <c r="AJ6" s="48">
        <v>897754.1699999996</v>
      </c>
      <c r="AK6" s="48">
        <v>957818.6799999996</v>
      </c>
      <c r="AL6" s="48">
        <v>985188.3499999996</v>
      </c>
      <c r="AM6" s="48">
        <v>1012558.0199999997</v>
      </c>
      <c r="AN6" s="48">
        <v>1039927.6899999997</v>
      </c>
      <c r="AO6" s="48">
        <v>1067297.3599999996</v>
      </c>
      <c r="AP6" s="48">
        <v>1094667.0299999996</v>
      </c>
      <c r="AQ6" s="48">
        <v>1122036.6999999995</v>
      </c>
      <c r="AR6" s="48">
        <v>1149406.3699999994</v>
      </c>
      <c r="AS6" s="48">
        <v>1176776.0399999993</v>
      </c>
      <c r="AT6" s="48">
        <v>1204145.7099999993</v>
      </c>
      <c r="AU6" s="48">
        <v>1231515.3799999992</v>
      </c>
      <c r="AV6" s="48">
        <v>1258885.049999999</v>
      </c>
      <c r="AW6" s="48">
        <v>1322738.489999999</v>
      </c>
      <c r="AX6" s="48">
        <v>1350108.159999999</v>
      </c>
      <c r="AY6" s="48">
        <v>1377477.829999999</v>
      </c>
      <c r="AZ6" s="48">
        <v>1404847.4999999988</v>
      </c>
      <c r="BA6" s="48">
        <v>1432217.1699999988</v>
      </c>
      <c r="BB6" s="48">
        <v>1459586.8399999987</v>
      </c>
      <c r="BC6" s="48">
        <v>1486956.5099999986</v>
      </c>
      <c r="BD6" s="48">
        <v>1514326.1799999985</v>
      </c>
      <c r="BE6" s="48">
        <v>1541695.8499999985</v>
      </c>
      <c r="BF6" s="48">
        <v>1569065.5199999984</v>
      </c>
      <c r="BG6" s="48">
        <v>1596435.1899999983</v>
      </c>
      <c r="BH6" s="48">
        <v>1623804.8599999982</v>
      </c>
      <c r="BI6" s="48">
        <v>1687658.2999999982</v>
      </c>
      <c r="BJ6" s="48">
        <v>1715027.969999998</v>
      </c>
      <c r="BK6" s="48">
        <v>1742397.639999998</v>
      </c>
      <c r="BL6" s="48">
        <v>1769767.309999998</v>
      </c>
      <c r="BM6" s="48">
        <v>1797136.979999998</v>
      </c>
      <c r="BN6" s="48">
        <v>1824506.6499999978</v>
      </c>
      <c r="BO6" s="48">
        <v>1851876.3199999977</v>
      </c>
      <c r="BP6" s="48">
        <v>1879245.9899999977</v>
      </c>
      <c r="BQ6" s="48">
        <v>1906615.6599999976</v>
      </c>
      <c r="BR6" s="48">
        <v>1933985.3299999975</v>
      </c>
      <c r="BS6" s="48">
        <v>1961354.9999999974</v>
      </c>
      <c r="BT6" s="48">
        <v>1988724.6699999974</v>
      </c>
      <c r="BU6" s="48">
        <v>2052578.1099999973</v>
      </c>
      <c r="BV6" s="48">
        <v>2079947.7799999972</v>
      </c>
      <c r="BW6" s="48">
        <v>2107317.4499999974</v>
      </c>
      <c r="BX6" s="48">
        <v>2134687.1199999973</v>
      </c>
      <c r="BY6" s="48">
        <v>2162056.7899999972</v>
      </c>
      <c r="BZ6" s="48">
        <v>2189426.459999997</v>
      </c>
      <c r="CA6" s="48">
        <v>2216796.129999997</v>
      </c>
      <c r="CB6" s="48">
        <v>2244165.799999997</v>
      </c>
      <c r="CC6" s="48">
        <v>2271535.469999997</v>
      </c>
      <c r="CD6" s="69">
        <v>2298905.139999997</v>
      </c>
      <c r="CE6" s="69">
        <v>2326274.809999997</v>
      </c>
      <c r="CF6" s="69">
        <v>2353644.4799999967</v>
      </c>
      <c r="CG6" s="69">
        <v>2417497.9199999967</v>
      </c>
      <c r="CH6" s="69">
        <v>2444867.5899999966</v>
      </c>
      <c r="CI6" s="69">
        <v>2472237.2599999965</v>
      </c>
      <c r="CJ6" s="69">
        <v>2499606.9299999964</v>
      </c>
      <c r="CK6" s="69">
        <v>2526976.5999999964</v>
      </c>
      <c r="CL6" s="69">
        <v>2556809.5399999963</v>
      </c>
      <c r="CM6" s="69">
        <v>2586642.4799999963</v>
      </c>
      <c r="CN6" s="69">
        <v>2616475.419999996</v>
      </c>
      <c r="CO6" s="69">
        <v>2646308.359999996</v>
      </c>
      <c r="CP6" s="69">
        <v>2676141.299999996</v>
      </c>
      <c r="CQ6" s="69">
        <v>2705974.239999996</v>
      </c>
      <c r="CR6" s="69">
        <v>2735807.179999996</v>
      </c>
      <c r="CS6" s="69">
        <v>2805407.429999996</v>
      </c>
      <c r="CT6" s="69">
        <v>2835240.369999996</v>
      </c>
      <c r="CU6" s="69">
        <v>2865073.309999996</v>
      </c>
      <c r="CV6" s="69">
        <v>2894906.249999996</v>
      </c>
      <c r="CW6" s="69">
        <v>2924739.1899999958</v>
      </c>
      <c r="CX6" s="69">
        <v>2954572.1299999957</v>
      </c>
      <c r="CY6" s="69">
        <v>2984405.0699999956</v>
      </c>
      <c r="CZ6" s="69">
        <v>3014238.0099999956</v>
      </c>
      <c r="DA6" s="69">
        <v>3044070.9499999955</v>
      </c>
      <c r="DB6" s="69">
        <v>3073903.8899999955</v>
      </c>
      <c r="DC6" s="69">
        <v>3103736.8299999954</v>
      </c>
      <c r="DD6" s="69">
        <v>3133569.7699999954</v>
      </c>
      <c r="DE6" s="69">
        <v>3203170.0199999954</v>
      </c>
      <c r="DF6" s="69">
        <v>3236256.1199999955</v>
      </c>
      <c r="DG6" s="69">
        <v>3269342.2199999955</v>
      </c>
      <c r="DH6" s="69">
        <v>3302428.3199999956</v>
      </c>
      <c r="DI6" s="69">
        <v>3335514.4199999957</v>
      </c>
      <c r="DJ6" s="69">
        <v>3368600.519999996</v>
      </c>
      <c r="DK6" s="69">
        <v>3401686.619999996</v>
      </c>
      <c r="DL6" s="69">
        <v>3434772.719999996</v>
      </c>
      <c r="DM6" s="69">
        <v>3467858.819999996</v>
      </c>
      <c r="DN6" s="69">
        <v>3500944.919999996</v>
      </c>
      <c r="DO6" s="69">
        <v>3534031.0199999963</v>
      </c>
      <c r="DP6" s="69">
        <v>3567117.1199999964</v>
      </c>
      <c r="DQ6" s="69">
        <v>3644306.9899999965</v>
      </c>
      <c r="DR6" s="69">
        <v>3677393.0899999966</v>
      </c>
      <c r="DS6" s="69">
        <v>3710479.1899999967</v>
      </c>
      <c r="DT6" s="69">
        <v>3743565.289999997</v>
      </c>
      <c r="DU6" s="69">
        <v>3780259.289999997</v>
      </c>
      <c r="DV6" s="69">
        <v>3816953.289999997</v>
      </c>
      <c r="DW6" s="69">
        <v>3853647.289999997</v>
      </c>
      <c r="DX6" s="69">
        <v>3890341.289999997</v>
      </c>
      <c r="DY6" s="69">
        <v>3927035.289999997</v>
      </c>
      <c r="DZ6" s="69">
        <v>3963729.289999997</v>
      </c>
      <c r="EA6" s="69">
        <v>4000423.289999997</v>
      </c>
      <c r="EB6" s="69">
        <v>4037117.289999997</v>
      </c>
      <c r="EC6" s="69">
        <v>4122724.389999997</v>
      </c>
      <c r="ED6" s="69">
        <v>4159418.389999997</v>
      </c>
      <c r="EE6" s="69">
        <v>4196112.389999997</v>
      </c>
      <c r="EF6" s="69">
        <v>4232806.389999997</v>
      </c>
      <c r="EG6" s="69">
        <v>4269500.389999997</v>
      </c>
      <c r="EH6" s="69">
        <v>4306194.389999997</v>
      </c>
      <c r="EI6" s="69">
        <v>4342888.389999997</v>
      </c>
      <c r="EJ6" s="69">
        <v>4379582.389999997</v>
      </c>
      <c r="EK6" s="69">
        <v>4416276.389999997</v>
      </c>
      <c r="EL6" s="69">
        <v>4452970.389999997</v>
      </c>
      <c r="EM6" s="69">
        <v>4489664.389999997</v>
      </c>
      <c r="EN6" s="69">
        <v>4526358.389999997</v>
      </c>
      <c r="EO6" s="69">
        <v>4611965.4899999965</v>
      </c>
    </row>
    <row r="7">
      <c r="A7" s="68" t="s">
        <v>80</v>
      </c>
      <c r="B7" s="48">
        <v>15398.42</v>
      </c>
      <c r="C7" s="48">
        <v>30796.84</v>
      </c>
      <c r="D7" s="48">
        <v>46195.26</v>
      </c>
      <c r="E7" s="48">
        <v>61593.68</v>
      </c>
      <c r="F7" s="48">
        <v>76992.1</v>
      </c>
      <c r="G7" s="48">
        <v>92390.52</v>
      </c>
      <c r="H7" s="48">
        <v>107788.94</v>
      </c>
      <c r="I7" s="48">
        <v>125943.95</v>
      </c>
      <c r="J7" s="48">
        <v>144098.96</v>
      </c>
      <c r="K7" s="48">
        <v>162253.97</v>
      </c>
      <c r="L7" s="48">
        <v>180408.98</v>
      </c>
      <c r="M7" s="48">
        <v>222764.63</v>
      </c>
      <c r="N7" s="48">
        <v>242118.33000000002</v>
      </c>
      <c r="O7" s="48">
        <v>261472.03000000003</v>
      </c>
      <c r="P7" s="48">
        <v>280825.73000000004</v>
      </c>
      <c r="Q7" s="48">
        <v>300179.43000000005</v>
      </c>
      <c r="R7" s="48">
        <v>319533.13000000006</v>
      </c>
      <c r="S7" s="48">
        <v>338886.8300000001</v>
      </c>
      <c r="T7" s="48">
        <v>358240.5300000001</v>
      </c>
      <c r="U7" s="48">
        <v>377594.2300000001</v>
      </c>
      <c r="V7" s="48">
        <v>396947.9300000001</v>
      </c>
      <c r="W7" s="48">
        <v>416301.6300000001</v>
      </c>
      <c r="X7" s="48">
        <v>435655.33000000013</v>
      </c>
      <c r="Y7" s="48">
        <v>480807.5100000001</v>
      </c>
      <c r="Z7" s="48">
        <v>502745.85000000015</v>
      </c>
      <c r="AA7" s="48">
        <v>524684.1900000002</v>
      </c>
      <c r="AB7" s="48">
        <v>546622.5300000001</v>
      </c>
      <c r="AC7" s="48">
        <v>568560.8700000001</v>
      </c>
      <c r="AD7" s="48">
        <v>590499.2100000001</v>
      </c>
      <c r="AE7" s="48">
        <v>612437.55</v>
      </c>
      <c r="AF7" s="48">
        <v>634375.89</v>
      </c>
      <c r="AG7" s="48">
        <v>656314.23</v>
      </c>
      <c r="AH7" s="48">
        <v>678252.57</v>
      </c>
      <c r="AI7" s="48">
        <v>700190.9099999999</v>
      </c>
      <c r="AJ7" s="48">
        <v>722129.2499999999</v>
      </c>
      <c r="AK7" s="48">
        <v>774196.2899999999</v>
      </c>
      <c r="AL7" s="48">
        <v>797392.0299999999</v>
      </c>
      <c r="AM7" s="48">
        <v>820587.7699999999</v>
      </c>
      <c r="AN7" s="48">
        <v>843783.5099999999</v>
      </c>
      <c r="AO7" s="48">
        <v>866979.2499999999</v>
      </c>
      <c r="AP7" s="48">
        <v>890174.9899999999</v>
      </c>
      <c r="AQ7" s="48">
        <v>913370.7299999999</v>
      </c>
      <c r="AR7" s="48">
        <v>936566.4699999999</v>
      </c>
      <c r="AS7" s="48">
        <v>959762.2099999998</v>
      </c>
      <c r="AT7" s="48">
        <v>982957.9499999998</v>
      </c>
      <c r="AU7" s="48">
        <v>1006153.6899999998</v>
      </c>
      <c r="AV7" s="48">
        <v>1029349.4299999998</v>
      </c>
      <c r="AW7" s="48">
        <v>1083465.0899999999</v>
      </c>
      <c r="AX7" s="48">
        <v>1107074.2899999998</v>
      </c>
      <c r="AY7" s="48">
        <v>1130683.4899999998</v>
      </c>
      <c r="AZ7" s="48">
        <v>1153553.3899999997</v>
      </c>
      <c r="BA7" s="48">
        <v>1176423.2899999996</v>
      </c>
      <c r="BB7" s="48">
        <v>1199293.1899999995</v>
      </c>
      <c r="BC7" s="48">
        <v>1222163.0899999994</v>
      </c>
      <c r="BD7" s="48">
        <v>1245032.9899999993</v>
      </c>
      <c r="BE7" s="48">
        <v>1267902.8899999992</v>
      </c>
      <c r="BF7" s="48">
        <v>1290772.789999999</v>
      </c>
      <c r="BG7" s="48">
        <v>1313642.689999999</v>
      </c>
      <c r="BH7" s="48">
        <v>1336512.589999999</v>
      </c>
      <c r="BI7" s="48">
        <v>1389868.069999999</v>
      </c>
      <c r="BJ7" s="48">
        <v>1413722.0199999989</v>
      </c>
      <c r="BK7" s="48">
        <v>1437575.9699999988</v>
      </c>
      <c r="BL7" s="48">
        <v>1461429.9199999988</v>
      </c>
      <c r="BM7" s="48">
        <v>1485283.8699999987</v>
      </c>
      <c r="BN7" s="48">
        <v>1509137.8199999987</v>
      </c>
      <c r="BO7" s="48">
        <v>1532991.7699999986</v>
      </c>
      <c r="BP7" s="48">
        <v>1556845.7199999986</v>
      </c>
      <c r="BQ7" s="48">
        <v>1580699.6699999985</v>
      </c>
      <c r="BR7" s="48">
        <v>1604553.6199999985</v>
      </c>
      <c r="BS7" s="48">
        <v>1628407.5699999984</v>
      </c>
      <c r="BT7" s="48">
        <v>1652261.5199999984</v>
      </c>
      <c r="BU7" s="48">
        <v>1707912.7699999984</v>
      </c>
      <c r="BV7" s="48">
        <v>1733936.5699999984</v>
      </c>
      <c r="BW7" s="48">
        <v>1759960.3699999985</v>
      </c>
      <c r="BX7" s="48">
        <v>1785984.1699999985</v>
      </c>
      <c r="BY7" s="48">
        <v>1812007.9699999986</v>
      </c>
      <c r="BZ7" s="48">
        <v>1838031.7699999986</v>
      </c>
      <c r="CA7" s="48">
        <v>1864055.5699999987</v>
      </c>
      <c r="CB7" s="48">
        <v>1890079.3699999987</v>
      </c>
      <c r="CC7" s="48">
        <v>1916103.1699999988</v>
      </c>
      <c r="CD7" s="69">
        <v>1942126.9699999988</v>
      </c>
      <c r="CE7" s="69">
        <v>1968150.7699999989</v>
      </c>
      <c r="CF7" s="69">
        <v>1994174.569999999</v>
      </c>
      <c r="CG7" s="69">
        <v>2054888.099999999</v>
      </c>
      <c r="CH7" s="69">
        <v>2081070.7399999988</v>
      </c>
      <c r="CI7" s="69">
        <v>2107255.049999999</v>
      </c>
      <c r="CJ7" s="69">
        <v>2133439.359999999</v>
      </c>
      <c r="CK7" s="69">
        <v>2161114.6199999987</v>
      </c>
      <c r="CL7" s="69">
        <v>2188687.2899999986</v>
      </c>
      <c r="CM7" s="69">
        <v>2216259.9599999986</v>
      </c>
      <c r="CN7" s="69">
        <v>2243832.6299999985</v>
      </c>
      <c r="CO7" s="69">
        <v>2271405.2999999984</v>
      </c>
      <c r="CP7" s="69">
        <v>2298977.9699999983</v>
      </c>
      <c r="CQ7" s="69">
        <v>2326550.6399999983</v>
      </c>
      <c r="CR7" s="69">
        <v>2354123.309999998</v>
      </c>
      <c r="CS7" s="69">
        <v>2418450.359999998</v>
      </c>
      <c r="CT7" s="69">
        <v>2446053.419999998</v>
      </c>
      <c r="CU7" s="69">
        <v>2475334.049999998</v>
      </c>
      <c r="CV7" s="69">
        <v>2504614.679999998</v>
      </c>
      <c r="CW7" s="69">
        <v>2533895.3099999977</v>
      </c>
      <c r="CX7" s="69">
        <v>2563175.9399999976</v>
      </c>
      <c r="CY7" s="69">
        <v>2592456.5699999975</v>
      </c>
      <c r="CZ7" s="69">
        <v>2621737.1999999974</v>
      </c>
      <c r="DA7" s="69">
        <v>2651017.8299999973</v>
      </c>
      <c r="DB7" s="69">
        <v>2680298.459999997</v>
      </c>
      <c r="DC7" s="69">
        <v>2709579.089999997</v>
      </c>
      <c r="DD7" s="69">
        <v>2738859.719999997</v>
      </c>
      <c r="DE7" s="69">
        <v>2807171.439999997</v>
      </c>
      <c r="DF7" s="69">
        <v>2836452.069999997</v>
      </c>
      <c r="DG7" s="69">
        <v>2867399.279999997</v>
      </c>
      <c r="DH7" s="69">
        <v>2898346.489999997</v>
      </c>
      <c r="DI7" s="69">
        <v>2929293.699999997</v>
      </c>
      <c r="DJ7" s="69">
        <v>2960240.909999997</v>
      </c>
      <c r="DK7" s="69">
        <v>2991188.119999997</v>
      </c>
      <c r="DL7" s="69">
        <v>3022135.329999997</v>
      </c>
      <c r="DM7" s="69">
        <v>3053082.539999997</v>
      </c>
      <c r="DN7" s="69">
        <v>3084029.7499999967</v>
      </c>
      <c r="DO7" s="69">
        <v>3114976.9599999967</v>
      </c>
      <c r="DP7" s="69">
        <v>3145924.1699999967</v>
      </c>
      <c r="DQ7" s="69">
        <v>3218124.0199999968</v>
      </c>
      <c r="DR7" s="69">
        <v>3249071.2299999967</v>
      </c>
      <c r="DS7" s="69">
        <v>3280018.4399999967</v>
      </c>
      <c r="DT7" s="69">
        <v>3310965.6499999966</v>
      </c>
      <c r="DU7" s="69">
        <v>3341912.8599999966</v>
      </c>
      <c r="DV7" s="69">
        <v>3372860.0699999966</v>
      </c>
      <c r="DW7" s="69">
        <v>3403807.2799999965</v>
      </c>
      <c r="DX7" s="69">
        <v>3434754.4899999965</v>
      </c>
      <c r="DY7" s="69">
        <v>3465701.6999999965</v>
      </c>
      <c r="DZ7" s="69">
        <v>3496648.9099999964</v>
      </c>
      <c r="EA7" s="69">
        <v>3527596.1199999964</v>
      </c>
      <c r="EB7" s="69">
        <v>3558543.3299999963</v>
      </c>
      <c r="EC7" s="69">
        <v>3630743.1799999964</v>
      </c>
      <c r="ED7" s="69">
        <v>3661690.3899999964</v>
      </c>
      <c r="EE7" s="69">
        <v>3692637.5999999964</v>
      </c>
      <c r="EF7" s="69">
        <v>3723584.8099999963</v>
      </c>
      <c r="EG7" s="69">
        <v>3754532.0199999963</v>
      </c>
      <c r="EH7" s="69">
        <v>3785479.2299999963</v>
      </c>
      <c r="EI7" s="69">
        <v>3816426.439999996</v>
      </c>
      <c r="EJ7" s="69">
        <v>3847373.649999996</v>
      </c>
      <c r="EK7" s="69">
        <v>3878320.859999996</v>
      </c>
      <c r="EL7" s="69">
        <v>3909268.069999996</v>
      </c>
      <c r="EM7" s="69">
        <v>3940215.279999996</v>
      </c>
      <c r="EN7" s="69">
        <v>3971162.489999996</v>
      </c>
      <c r="EO7" s="69">
        <v>4043362.339999996</v>
      </c>
    </row>
    <row r="8">
      <c r="A8" s="68" t="s">
        <v>81</v>
      </c>
      <c r="B8" s="48">
        <v>15398.42</v>
      </c>
      <c r="C8" s="48">
        <v>30796.84</v>
      </c>
      <c r="D8" s="48">
        <v>46195.26</v>
      </c>
      <c r="E8" s="48">
        <v>61593.68</v>
      </c>
      <c r="F8" s="48">
        <v>76992.1</v>
      </c>
      <c r="G8" s="48">
        <v>92390.52</v>
      </c>
      <c r="H8" s="48">
        <v>107788.94</v>
      </c>
      <c r="I8" s="48">
        <v>123986.46</v>
      </c>
      <c r="J8" s="48">
        <v>140183.98</v>
      </c>
      <c r="K8" s="48">
        <v>156381.5</v>
      </c>
      <c r="L8" s="48">
        <v>172579.02</v>
      </c>
      <c r="M8" s="48">
        <v>210367.83</v>
      </c>
      <c r="N8" s="48">
        <v>227635.13999999998</v>
      </c>
      <c r="O8" s="48">
        <v>244902.44999999998</v>
      </c>
      <c r="P8" s="48">
        <v>262169.76</v>
      </c>
      <c r="Q8" s="48">
        <v>279437.07</v>
      </c>
      <c r="R8" s="48">
        <v>296704.38</v>
      </c>
      <c r="S8" s="48">
        <v>313971.69</v>
      </c>
      <c r="T8" s="48">
        <v>331239.0</v>
      </c>
      <c r="U8" s="48">
        <v>348506.31</v>
      </c>
      <c r="V8" s="48">
        <v>365773.62</v>
      </c>
      <c r="W8" s="48">
        <v>383040.93</v>
      </c>
      <c r="X8" s="48">
        <v>400308.24</v>
      </c>
      <c r="Y8" s="48">
        <v>440592.86</v>
      </c>
      <c r="Z8" s="48">
        <v>458948.91</v>
      </c>
      <c r="AA8" s="48">
        <v>477304.95999999996</v>
      </c>
      <c r="AB8" s="48">
        <v>495661.00999999995</v>
      </c>
      <c r="AC8" s="48">
        <v>514017.05999999994</v>
      </c>
      <c r="AD8" s="48">
        <v>532373.11</v>
      </c>
      <c r="AE8" s="48">
        <v>550729.16</v>
      </c>
      <c r="AF8" s="48">
        <v>569085.2100000001</v>
      </c>
      <c r="AG8" s="48">
        <v>587441.2600000001</v>
      </c>
      <c r="AH8" s="48">
        <v>605797.3100000002</v>
      </c>
      <c r="AI8" s="48">
        <v>624153.3600000002</v>
      </c>
      <c r="AJ8" s="48">
        <v>642509.4100000003</v>
      </c>
      <c r="AK8" s="48">
        <v>685334.0700000003</v>
      </c>
      <c r="AL8" s="48">
        <v>704793.2000000003</v>
      </c>
      <c r="AM8" s="48">
        <v>724252.3300000003</v>
      </c>
      <c r="AN8" s="48">
        <v>743711.4600000003</v>
      </c>
      <c r="AO8" s="48">
        <v>763170.5900000003</v>
      </c>
      <c r="AP8" s="48">
        <v>782629.7200000003</v>
      </c>
      <c r="AQ8" s="48">
        <v>802088.8500000003</v>
      </c>
      <c r="AR8" s="48">
        <v>821547.9800000003</v>
      </c>
      <c r="AS8" s="48">
        <v>841007.1100000003</v>
      </c>
      <c r="AT8" s="48">
        <v>860466.2400000003</v>
      </c>
      <c r="AU8" s="48">
        <v>879925.3700000003</v>
      </c>
      <c r="AV8" s="48">
        <v>899384.5000000003</v>
      </c>
      <c r="AW8" s="48">
        <v>944782.6500000004</v>
      </c>
      <c r="AX8" s="48">
        <v>964241.7800000004</v>
      </c>
      <c r="AY8" s="48">
        <v>983700.9100000004</v>
      </c>
      <c r="AZ8" s="48">
        <v>1002143.6800000004</v>
      </c>
      <c r="BA8" s="48">
        <v>1020586.4500000004</v>
      </c>
      <c r="BB8" s="48">
        <v>1039029.2200000004</v>
      </c>
      <c r="BC8" s="48">
        <v>1057471.9900000005</v>
      </c>
      <c r="BD8" s="48">
        <v>1075914.7600000005</v>
      </c>
      <c r="BE8" s="48">
        <v>1094357.5300000005</v>
      </c>
      <c r="BF8" s="48">
        <v>1112800.3000000005</v>
      </c>
      <c r="BG8" s="48">
        <v>1131243.0700000005</v>
      </c>
      <c r="BH8" s="48">
        <v>1149685.8400000005</v>
      </c>
      <c r="BI8" s="48">
        <v>1192712.8300000005</v>
      </c>
      <c r="BJ8" s="48">
        <v>1211191.2400000005</v>
      </c>
      <c r="BK8" s="48">
        <v>1229669.6500000004</v>
      </c>
      <c r="BL8" s="48">
        <v>1248148.0600000003</v>
      </c>
      <c r="BM8" s="48">
        <v>1266626.4700000002</v>
      </c>
      <c r="BN8" s="48">
        <v>1285104.8800000001</v>
      </c>
      <c r="BO8" s="48">
        <v>1303583.29</v>
      </c>
      <c r="BP8" s="48">
        <v>1322061.7</v>
      </c>
      <c r="BQ8" s="48">
        <v>1340540.1099999999</v>
      </c>
      <c r="BR8" s="48">
        <v>1359018.5199999998</v>
      </c>
      <c r="BS8" s="48">
        <v>1377496.9299999997</v>
      </c>
      <c r="BT8" s="48">
        <v>1395975.3399999996</v>
      </c>
      <c r="BU8" s="48">
        <v>1439085.4599999997</v>
      </c>
      <c r="BV8" s="48">
        <v>1457633.9899999998</v>
      </c>
      <c r="BW8" s="48">
        <v>1476182.5199999998</v>
      </c>
      <c r="BX8" s="48">
        <v>1494731.0499999998</v>
      </c>
      <c r="BY8" s="48">
        <v>1513279.5799999998</v>
      </c>
      <c r="BZ8" s="48">
        <v>1531828.1099999999</v>
      </c>
      <c r="CA8" s="48">
        <v>1550376.64</v>
      </c>
      <c r="CB8" s="48">
        <v>1568925.17</v>
      </c>
      <c r="CC8" s="48">
        <v>1587473.7</v>
      </c>
      <c r="CD8" s="69">
        <v>1606022.23</v>
      </c>
      <c r="CE8" s="69">
        <v>1624570.76</v>
      </c>
      <c r="CF8" s="69">
        <v>1643119.29</v>
      </c>
      <c r="CG8" s="69">
        <v>1686393.02</v>
      </c>
      <c r="CH8" s="69">
        <v>1704986.84</v>
      </c>
      <c r="CI8" s="69">
        <v>1723580.6600000001</v>
      </c>
      <c r="CJ8" s="69">
        <v>1742174.4800000002</v>
      </c>
      <c r="CK8" s="69">
        <v>1760768.3000000003</v>
      </c>
      <c r="CL8" s="69">
        <v>1780900.6100000003</v>
      </c>
      <c r="CM8" s="69">
        <v>1801032.9200000004</v>
      </c>
      <c r="CN8" s="69">
        <v>1821165.2300000004</v>
      </c>
      <c r="CO8" s="69">
        <v>1841297.5400000005</v>
      </c>
      <c r="CP8" s="69">
        <v>1861429.8500000006</v>
      </c>
      <c r="CQ8" s="69">
        <v>1881562.1600000006</v>
      </c>
      <c r="CR8" s="69">
        <v>1901694.4700000007</v>
      </c>
      <c r="CS8" s="69">
        <v>1948663.1400000006</v>
      </c>
      <c r="CT8" s="69">
        <v>1968825.8400000005</v>
      </c>
      <c r="CU8" s="69">
        <v>1988999.5800000005</v>
      </c>
      <c r="CV8" s="69">
        <v>2009173.3200000005</v>
      </c>
      <c r="CW8" s="69">
        <v>2029347.0600000005</v>
      </c>
      <c r="CX8" s="69">
        <v>2049520.8000000005</v>
      </c>
      <c r="CY8" s="69">
        <v>2069694.5400000005</v>
      </c>
      <c r="CZ8" s="69">
        <v>2089868.2800000005</v>
      </c>
      <c r="DA8" s="69">
        <v>2110042.0200000005</v>
      </c>
      <c r="DB8" s="69">
        <v>2130215.7600000007</v>
      </c>
      <c r="DC8" s="69">
        <v>2150389.500000001</v>
      </c>
      <c r="DD8" s="69">
        <v>2170563.240000001</v>
      </c>
      <c r="DE8" s="69">
        <v>2217628.570000001</v>
      </c>
      <c r="DF8" s="69">
        <v>2239813.280000001</v>
      </c>
      <c r="DG8" s="69">
        <v>2261997.990000001</v>
      </c>
      <c r="DH8" s="69">
        <v>2284182.700000001</v>
      </c>
      <c r="DI8" s="69">
        <v>2306367.410000001</v>
      </c>
      <c r="DJ8" s="69">
        <v>2328552.120000001</v>
      </c>
      <c r="DK8" s="69">
        <v>2350736.830000001</v>
      </c>
      <c r="DL8" s="69">
        <v>2372921.540000001</v>
      </c>
      <c r="DM8" s="69">
        <v>2395106.250000001</v>
      </c>
      <c r="DN8" s="69">
        <v>2417290.960000001</v>
      </c>
      <c r="DO8" s="69">
        <v>2439475.670000001</v>
      </c>
      <c r="DP8" s="69">
        <v>2461660.380000001</v>
      </c>
      <c r="DQ8" s="69">
        <v>2513417.3000000007</v>
      </c>
      <c r="DR8" s="69">
        <v>2535602.0100000007</v>
      </c>
      <c r="DS8" s="69">
        <v>2557786.7200000007</v>
      </c>
      <c r="DT8" s="69">
        <v>2579971.4300000006</v>
      </c>
      <c r="DU8" s="69">
        <v>2604386.3900000006</v>
      </c>
      <c r="DV8" s="69">
        <v>2628801.3500000006</v>
      </c>
      <c r="DW8" s="69">
        <v>2653216.3100000005</v>
      </c>
      <c r="DX8" s="69">
        <v>2677631.2700000005</v>
      </c>
      <c r="DY8" s="69">
        <v>2702046.2300000004</v>
      </c>
      <c r="DZ8" s="69">
        <v>2726461.1900000004</v>
      </c>
      <c r="EA8" s="69">
        <v>2750876.1500000004</v>
      </c>
      <c r="EB8" s="69">
        <v>2775291.1100000003</v>
      </c>
      <c r="EC8" s="69">
        <v>2832251.2100000004</v>
      </c>
      <c r="ED8" s="69">
        <v>2856666.1700000004</v>
      </c>
      <c r="EE8" s="69">
        <v>2881081.1300000004</v>
      </c>
      <c r="EF8" s="69">
        <v>2905496.0900000003</v>
      </c>
      <c r="EG8" s="69">
        <v>2929911.0500000003</v>
      </c>
      <c r="EH8" s="69">
        <v>2954326.0100000002</v>
      </c>
      <c r="EI8" s="69">
        <v>2978740.97</v>
      </c>
      <c r="EJ8" s="69">
        <v>3003155.93</v>
      </c>
      <c r="EK8" s="69">
        <v>3027570.89</v>
      </c>
      <c r="EL8" s="69">
        <v>3051985.85</v>
      </c>
      <c r="EM8" s="69">
        <v>3076400.81</v>
      </c>
      <c r="EN8" s="69">
        <v>3100815.77</v>
      </c>
      <c r="EO8" s="69">
        <v>3157775.87</v>
      </c>
    </row>
    <row r="9">
      <c r="A9" s="68" t="s">
        <v>82</v>
      </c>
      <c r="B9" s="48">
        <v>15398.37</v>
      </c>
      <c r="C9" s="48">
        <v>30796.74</v>
      </c>
      <c r="D9" s="48">
        <v>46195.11</v>
      </c>
      <c r="E9" s="48">
        <v>61593.48</v>
      </c>
      <c r="F9" s="48">
        <v>76991.85</v>
      </c>
      <c r="G9" s="48">
        <v>92390.22</v>
      </c>
      <c r="H9" s="48">
        <v>107788.59</v>
      </c>
      <c r="I9" s="48">
        <v>123186.95999999999</v>
      </c>
      <c r="J9" s="48">
        <v>140542.83</v>
      </c>
      <c r="K9" s="48">
        <v>157898.69999999998</v>
      </c>
      <c r="L9" s="48">
        <v>175254.56999999998</v>
      </c>
      <c r="M9" s="48">
        <v>215745.83</v>
      </c>
      <c r="N9" s="48">
        <v>234667.19999999998</v>
      </c>
      <c r="O9" s="48">
        <v>253588.56999999998</v>
      </c>
      <c r="P9" s="48">
        <v>272509.94</v>
      </c>
      <c r="Q9" s="48">
        <v>291431.31</v>
      </c>
      <c r="R9" s="48">
        <v>310352.68</v>
      </c>
      <c r="S9" s="48">
        <v>329274.05</v>
      </c>
      <c r="T9" s="48">
        <v>348195.42</v>
      </c>
      <c r="U9" s="48">
        <v>367116.79</v>
      </c>
      <c r="V9" s="48">
        <v>386038.16</v>
      </c>
      <c r="W9" s="48">
        <v>404959.52999999997</v>
      </c>
      <c r="X9" s="48">
        <v>423880.89999999997</v>
      </c>
      <c r="Y9" s="48">
        <v>468024.47</v>
      </c>
      <c r="Z9" s="48">
        <v>487710.33999999997</v>
      </c>
      <c r="AA9" s="48">
        <v>507396.20999999996</v>
      </c>
      <c r="AB9" s="48">
        <v>527082.08</v>
      </c>
      <c r="AC9" s="48">
        <v>546767.95</v>
      </c>
      <c r="AD9" s="48">
        <v>566453.82</v>
      </c>
      <c r="AE9" s="48">
        <v>586139.69</v>
      </c>
      <c r="AF9" s="48">
        <v>605825.5599999999</v>
      </c>
      <c r="AG9" s="48">
        <v>625511.4299999999</v>
      </c>
      <c r="AH9" s="48">
        <v>645197.2999999999</v>
      </c>
      <c r="AI9" s="48">
        <v>664883.1699999999</v>
      </c>
      <c r="AJ9" s="48">
        <v>684569.0399999999</v>
      </c>
      <c r="AK9" s="48">
        <v>730496.1599999999</v>
      </c>
      <c r="AL9" s="48">
        <v>750940.6799999999</v>
      </c>
      <c r="AM9" s="48">
        <v>771385.2</v>
      </c>
      <c r="AN9" s="48">
        <v>791829.72</v>
      </c>
      <c r="AO9" s="48">
        <v>812274.24</v>
      </c>
      <c r="AP9" s="48">
        <v>832718.76</v>
      </c>
      <c r="AQ9" s="48">
        <v>853163.28</v>
      </c>
      <c r="AR9" s="48">
        <v>873607.8</v>
      </c>
      <c r="AS9" s="48">
        <v>894052.3200000001</v>
      </c>
      <c r="AT9" s="48">
        <v>914496.8400000001</v>
      </c>
      <c r="AU9" s="48">
        <v>934941.3600000001</v>
      </c>
      <c r="AV9" s="48">
        <v>955385.8800000001</v>
      </c>
      <c r="AW9" s="48">
        <v>1003082.9400000002</v>
      </c>
      <c r="AX9" s="48">
        <v>1023527.4600000002</v>
      </c>
      <c r="AY9" s="48">
        <v>1043971.9800000002</v>
      </c>
      <c r="AZ9" s="48">
        <v>1063487.5200000003</v>
      </c>
      <c r="BA9" s="48">
        <v>1083003.0600000003</v>
      </c>
      <c r="BB9" s="48">
        <v>1102518.6000000003</v>
      </c>
      <c r="BC9" s="48">
        <v>1122034.1400000004</v>
      </c>
      <c r="BD9" s="48">
        <v>1141549.6800000004</v>
      </c>
      <c r="BE9" s="48">
        <v>1161065.2200000004</v>
      </c>
      <c r="BF9" s="48">
        <v>1180580.7600000005</v>
      </c>
      <c r="BG9" s="48">
        <v>1200096.3000000005</v>
      </c>
      <c r="BH9" s="48">
        <v>1219611.8400000005</v>
      </c>
      <c r="BI9" s="48">
        <v>1265141.6000000006</v>
      </c>
      <c r="BJ9" s="48">
        <v>1284692.7800000005</v>
      </c>
      <c r="BK9" s="48">
        <v>1304243.9600000004</v>
      </c>
      <c r="BL9" s="48">
        <v>1323795.1400000004</v>
      </c>
      <c r="BM9" s="48">
        <v>1343346.3200000003</v>
      </c>
      <c r="BN9" s="48">
        <v>1362897.5000000002</v>
      </c>
      <c r="BO9" s="48">
        <v>1382448.6800000002</v>
      </c>
      <c r="BP9" s="48">
        <v>1401999.86</v>
      </c>
      <c r="BQ9" s="48">
        <v>1421551.04</v>
      </c>
      <c r="BR9" s="48">
        <v>1441102.22</v>
      </c>
      <c r="BS9" s="48">
        <v>1460653.4</v>
      </c>
      <c r="BT9" s="48">
        <v>1480204.5799999998</v>
      </c>
      <c r="BU9" s="48">
        <v>1525817.4899999998</v>
      </c>
      <c r="BV9" s="48">
        <v>1545438.7999999998</v>
      </c>
      <c r="BW9" s="48">
        <v>1565060.1099999999</v>
      </c>
      <c r="BX9" s="48">
        <v>1584681.42</v>
      </c>
      <c r="BY9" s="48">
        <v>1604302.73</v>
      </c>
      <c r="BZ9" s="48">
        <v>1623924.04</v>
      </c>
      <c r="CA9" s="48">
        <v>1643545.35</v>
      </c>
      <c r="CB9" s="48">
        <v>1663166.6600000001</v>
      </c>
      <c r="CC9" s="48">
        <v>1682787.9700000002</v>
      </c>
      <c r="CD9" s="69">
        <v>1702409.2800000003</v>
      </c>
      <c r="CE9" s="69">
        <v>1722030.5900000003</v>
      </c>
      <c r="CF9" s="69">
        <v>1741651.9000000004</v>
      </c>
      <c r="CG9" s="69">
        <v>1787428.4200000004</v>
      </c>
      <c r="CH9" s="69">
        <v>1807095.0100000005</v>
      </c>
      <c r="CI9" s="69">
        <v>1826761.6000000006</v>
      </c>
      <c r="CJ9" s="69">
        <v>1846428.1900000006</v>
      </c>
      <c r="CK9" s="69">
        <v>1866094.7800000007</v>
      </c>
      <c r="CL9" s="69">
        <v>1887220.2400000007</v>
      </c>
      <c r="CM9" s="69">
        <v>1908345.7000000007</v>
      </c>
      <c r="CN9" s="69">
        <v>1929471.1600000006</v>
      </c>
      <c r="CO9" s="69">
        <v>1950596.6200000006</v>
      </c>
      <c r="CP9" s="69">
        <v>1971722.0800000005</v>
      </c>
      <c r="CQ9" s="69">
        <v>1992847.5400000005</v>
      </c>
      <c r="CR9" s="69">
        <v>2013973.0000000005</v>
      </c>
      <c r="CS9" s="69">
        <v>2063258.7000000004</v>
      </c>
      <c r="CT9" s="69">
        <v>2084414.5500000005</v>
      </c>
      <c r="CU9" s="69">
        <v>2106560.1900000004</v>
      </c>
      <c r="CV9" s="69">
        <v>2128705.8300000005</v>
      </c>
      <c r="CW9" s="69">
        <v>2150851.4700000007</v>
      </c>
      <c r="CX9" s="69">
        <v>2172997.110000001</v>
      </c>
      <c r="CY9" s="69">
        <v>2195142.750000001</v>
      </c>
      <c r="CZ9" s="69">
        <v>2217288.390000001</v>
      </c>
      <c r="DA9" s="69">
        <v>2239760.280000001</v>
      </c>
      <c r="DB9" s="69">
        <v>2262232.1700000013</v>
      </c>
      <c r="DC9" s="69">
        <v>2284704.0600000015</v>
      </c>
      <c r="DD9" s="69">
        <v>2307175.9500000016</v>
      </c>
      <c r="DE9" s="69">
        <v>2359602.8700000015</v>
      </c>
      <c r="DF9" s="69">
        <v>2382074.7600000016</v>
      </c>
      <c r="DG9" s="69">
        <v>2405851.650000002</v>
      </c>
      <c r="DH9" s="69">
        <v>2429628.540000002</v>
      </c>
      <c r="DI9" s="69">
        <v>2453405.430000002</v>
      </c>
      <c r="DJ9" s="69">
        <v>2477182.320000002</v>
      </c>
      <c r="DK9" s="69">
        <v>2500959.2100000023</v>
      </c>
      <c r="DL9" s="69">
        <v>2524736.1000000024</v>
      </c>
      <c r="DM9" s="69">
        <v>2548512.9900000026</v>
      </c>
      <c r="DN9" s="69">
        <v>2572289.8800000027</v>
      </c>
      <c r="DO9" s="69">
        <v>2596066.770000003</v>
      </c>
      <c r="DP9" s="69">
        <v>2619843.660000003</v>
      </c>
      <c r="DQ9" s="69">
        <v>2675315.150000003</v>
      </c>
      <c r="DR9" s="69">
        <v>2699092.0400000033</v>
      </c>
      <c r="DS9" s="69">
        <v>2722868.9300000034</v>
      </c>
      <c r="DT9" s="69">
        <v>2746645.8200000036</v>
      </c>
      <c r="DU9" s="69">
        <v>2773358.9600000037</v>
      </c>
      <c r="DV9" s="69">
        <v>2800072.100000004</v>
      </c>
      <c r="DW9" s="69">
        <v>2826785.240000004</v>
      </c>
      <c r="DX9" s="69">
        <v>2853498.380000004</v>
      </c>
      <c r="DY9" s="69">
        <v>2880211.520000004</v>
      </c>
      <c r="DZ9" s="69">
        <v>2906924.6600000043</v>
      </c>
      <c r="EA9" s="69">
        <v>2933637.8000000045</v>
      </c>
      <c r="EB9" s="69">
        <v>2960350.9400000046</v>
      </c>
      <c r="EC9" s="69">
        <v>3022672.7000000044</v>
      </c>
      <c r="ED9" s="69">
        <v>3049385.8400000045</v>
      </c>
      <c r="EE9" s="69">
        <v>3076361.6100000045</v>
      </c>
      <c r="EF9" s="69">
        <v>3103337.3800000045</v>
      </c>
      <c r="EG9" s="69">
        <v>3130313.1500000046</v>
      </c>
      <c r="EH9" s="69">
        <v>3157288.9200000046</v>
      </c>
      <c r="EI9" s="69">
        <v>3184264.6900000046</v>
      </c>
      <c r="EJ9" s="69">
        <v>3211240.4600000046</v>
      </c>
      <c r="EK9" s="69">
        <v>3238216.2300000046</v>
      </c>
      <c r="EL9" s="69">
        <v>3265192.0000000047</v>
      </c>
      <c r="EM9" s="69">
        <v>3292167.7700000047</v>
      </c>
      <c r="EN9" s="69">
        <v>3319143.5400000047</v>
      </c>
      <c r="EO9" s="69">
        <v>3382078.010000005</v>
      </c>
    </row>
    <row r="10">
      <c r="A10" s="68" t="s">
        <v>83</v>
      </c>
      <c r="B10" s="48">
        <v>15398.42</v>
      </c>
      <c r="C10" s="48">
        <v>30796.84</v>
      </c>
      <c r="D10" s="48">
        <v>46195.26</v>
      </c>
      <c r="E10" s="48">
        <v>61593.68</v>
      </c>
      <c r="F10" s="48">
        <v>76992.1</v>
      </c>
      <c r="G10" s="48">
        <v>92390.52</v>
      </c>
      <c r="H10" s="48">
        <v>107788.94</v>
      </c>
      <c r="I10" s="48">
        <v>123986.46</v>
      </c>
      <c r="J10" s="48">
        <v>140183.98</v>
      </c>
      <c r="K10" s="48">
        <v>156381.5</v>
      </c>
      <c r="L10" s="48">
        <v>172579.02</v>
      </c>
      <c r="M10" s="48">
        <v>210367.83</v>
      </c>
      <c r="N10" s="48">
        <v>227635.13999999998</v>
      </c>
      <c r="O10" s="48">
        <v>244902.44999999998</v>
      </c>
      <c r="P10" s="48">
        <v>262169.76</v>
      </c>
      <c r="Q10" s="48">
        <v>279437.07</v>
      </c>
      <c r="R10" s="48">
        <v>296704.38</v>
      </c>
      <c r="S10" s="48">
        <v>313971.69</v>
      </c>
      <c r="T10" s="48">
        <v>331239.0</v>
      </c>
      <c r="U10" s="48">
        <v>348506.31</v>
      </c>
      <c r="V10" s="48">
        <v>365773.62</v>
      </c>
      <c r="W10" s="48">
        <v>383040.93</v>
      </c>
      <c r="X10" s="48">
        <v>400308.24</v>
      </c>
      <c r="Y10" s="48">
        <v>440592.86</v>
      </c>
      <c r="Z10" s="48">
        <v>458948.91</v>
      </c>
      <c r="AA10" s="48">
        <v>477304.95999999996</v>
      </c>
      <c r="AB10" s="48">
        <v>495661.00999999995</v>
      </c>
      <c r="AC10" s="48">
        <v>514017.05999999994</v>
      </c>
      <c r="AD10" s="48">
        <v>532373.11</v>
      </c>
      <c r="AE10" s="48">
        <v>550729.16</v>
      </c>
      <c r="AF10" s="48">
        <v>569085.2100000001</v>
      </c>
      <c r="AG10" s="48">
        <v>587441.2600000001</v>
      </c>
      <c r="AH10" s="48">
        <v>605797.3100000002</v>
      </c>
      <c r="AI10" s="48">
        <v>624153.3600000002</v>
      </c>
      <c r="AJ10" s="48">
        <v>642509.4100000003</v>
      </c>
      <c r="AK10" s="48">
        <v>685334.0700000003</v>
      </c>
      <c r="AL10" s="48">
        <v>704793.2000000003</v>
      </c>
      <c r="AM10" s="48">
        <v>724252.3300000003</v>
      </c>
      <c r="AN10" s="48">
        <v>743711.4600000003</v>
      </c>
      <c r="AO10" s="48">
        <v>763170.5900000003</v>
      </c>
      <c r="AP10" s="48">
        <v>782629.7200000003</v>
      </c>
      <c r="AQ10" s="48">
        <v>802088.8500000003</v>
      </c>
      <c r="AR10" s="48">
        <v>821547.9800000003</v>
      </c>
      <c r="AS10" s="48">
        <v>841007.1100000003</v>
      </c>
      <c r="AT10" s="48">
        <v>860466.2400000003</v>
      </c>
      <c r="AU10" s="48">
        <v>879925.3700000003</v>
      </c>
      <c r="AV10" s="48">
        <v>899384.5000000003</v>
      </c>
      <c r="AW10" s="48">
        <v>944782.6500000004</v>
      </c>
      <c r="AX10" s="48">
        <v>964241.7800000004</v>
      </c>
      <c r="AY10" s="48">
        <v>983700.9100000004</v>
      </c>
      <c r="AZ10" s="48">
        <v>1002143.6800000004</v>
      </c>
      <c r="BA10" s="48">
        <v>1020586.4500000004</v>
      </c>
      <c r="BB10" s="48">
        <v>1039029.2200000004</v>
      </c>
      <c r="BC10" s="48">
        <v>1057471.9900000005</v>
      </c>
      <c r="BD10" s="48">
        <v>1075914.7600000005</v>
      </c>
      <c r="BE10" s="48">
        <v>1094357.5300000005</v>
      </c>
      <c r="BF10" s="48">
        <v>1112800.3000000005</v>
      </c>
      <c r="BG10" s="48">
        <v>1131243.0700000005</v>
      </c>
      <c r="BH10" s="48">
        <v>1149685.8400000005</v>
      </c>
      <c r="BI10" s="48">
        <v>1192712.8300000005</v>
      </c>
      <c r="BJ10" s="48">
        <v>1211191.2400000005</v>
      </c>
      <c r="BK10" s="48">
        <v>1229669.6500000004</v>
      </c>
      <c r="BL10" s="48">
        <v>1248148.0600000003</v>
      </c>
      <c r="BM10" s="48">
        <v>1266626.4700000002</v>
      </c>
      <c r="BN10" s="48">
        <v>1285104.8800000001</v>
      </c>
      <c r="BO10" s="48">
        <v>1303583.29</v>
      </c>
      <c r="BP10" s="48">
        <v>1322061.7</v>
      </c>
      <c r="BQ10" s="48">
        <v>1340540.1099999999</v>
      </c>
      <c r="BR10" s="48">
        <v>1359018.5199999998</v>
      </c>
      <c r="BS10" s="48">
        <v>1377496.9299999997</v>
      </c>
      <c r="BT10" s="48">
        <v>1395975.3399999996</v>
      </c>
      <c r="BU10" s="48">
        <v>1439085.4599999997</v>
      </c>
      <c r="BV10" s="48">
        <v>1457633.9899999998</v>
      </c>
      <c r="BW10" s="48">
        <v>1476182.5199999998</v>
      </c>
      <c r="BX10" s="48">
        <v>1494731.0499999998</v>
      </c>
      <c r="BY10" s="48">
        <v>1513279.5799999998</v>
      </c>
      <c r="BZ10" s="48">
        <v>1531828.1099999999</v>
      </c>
      <c r="CA10" s="48">
        <v>1550376.64</v>
      </c>
      <c r="CB10" s="48">
        <v>1568925.17</v>
      </c>
      <c r="CC10" s="48">
        <v>1587473.7</v>
      </c>
      <c r="CD10" s="69">
        <v>1606022.23</v>
      </c>
      <c r="CE10" s="69">
        <v>1624570.76</v>
      </c>
      <c r="CF10" s="69">
        <v>1643119.29</v>
      </c>
      <c r="CG10" s="69">
        <v>1686393.02</v>
      </c>
      <c r="CH10" s="69">
        <v>1704986.84</v>
      </c>
      <c r="CI10" s="69">
        <v>1723580.6600000001</v>
      </c>
      <c r="CJ10" s="69">
        <v>1742174.4800000002</v>
      </c>
      <c r="CK10" s="69">
        <v>1760768.3000000003</v>
      </c>
      <c r="CL10" s="69">
        <v>1780900.6100000003</v>
      </c>
      <c r="CM10" s="69">
        <v>1801032.9200000004</v>
      </c>
      <c r="CN10" s="69">
        <v>1821165.2300000004</v>
      </c>
      <c r="CO10" s="69">
        <v>1841297.5400000005</v>
      </c>
      <c r="CP10" s="69">
        <v>1861429.8500000006</v>
      </c>
      <c r="CQ10" s="69">
        <v>1881562.1600000006</v>
      </c>
      <c r="CR10" s="69">
        <v>1901694.4700000007</v>
      </c>
      <c r="CS10" s="69">
        <v>1948663.1400000006</v>
      </c>
      <c r="CT10" s="69">
        <v>1968825.8400000005</v>
      </c>
      <c r="CU10" s="69">
        <v>1988999.5800000005</v>
      </c>
      <c r="CV10" s="69">
        <v>2009173.3200000005</v>
      </c>
      <c r="CW10" s="69">
        <v>2029347.0600000005</v>
      </c>
      <c r="CX10" s="69">
        <v>2049520.8000000005</v>
      </c>
      <c r="CY10" s="69">
        <v>2069694.5400000005</v>
      </c>
      <c r="CZ10" s="69">
        <v>2089868.2800000005</v>
      </c>
      <c r="DA10" s="69">
        <v>2110042.0200000005</v>
      </c>
      <c r="DB10" s="69">
        <v>2130215.7600000007</v>
      </c>
      <c r="DC10" s="69">
        <v>2150389.500000001</v>
      </c>
      <c r="DD10" s="69">
        <v>2170563.240000001</v>
      </c>
      <c r="DE10" s="69">
        <v>2217628.570000001</v>
      </c>
      <c r="DF10" s="69">
        <v>2239813.280000001</v>
      </c>
      <c r="DG10" s="69">
        <v>2261997.990000001</v>
      </c>
      <c r="DH10" s="69">
        <v>2284182.700000001</v>
      </c>
      <c r="DI10" s="69">
        <v>2306367.410000001</v>
      </c>
      <c r="DJ10" s="69">
        <v>2328552.120000001</v>
      </c>
      <c r="DK10" s="69">
        <v>2350736.830000001</v>
      </c>
      <c r="DL10" s="69">
        <v>2372921.540000001</v>
      </c>
      <c r="DM10" s="69">
        <v>2395106.250000001</v>
      </c>
      <c r="DN10" s="69">
        <v>2417290.960000001</v>
      </c>
      <c r="DO10" s="69">
        <v>2439475.670000001</v>
      </c>
      <c r="DP10" s="69">
        <v>2461660.380000001</v>
      </c>
      <c r="DQ10" s="69">
        <v>2513417.3000000007</v>
      </c>
      <c r="DR10" s="69">
        <v>2535602.0100000007</v>
      </c>
      <c r="DS10" s="69">
        <v>2557786.7200000007</v>
      </c>
      <c r="DT10" s="69">
        <v>2579971.4300000006</v>
      </c>
      <c r="DU10" s="69">
        <v>2604386.3900000006</v>
      </c>
      <c r="DV10" s="69">
        <v>2628801.3500000006</v>
      </c>
      <c r="DW10" s="69">
        <v>2653216.3100000005</v>
      </c>
      <c r="DX10" s="69">
        <v>2677631.2700000005</v>
      </c>
      <c r="DY10" s="69">
        <v>2702046.2300000004</v>
      </c>
      <c r="DZ10" s="69">
        <v>2726461.1900000004</v>
      </c>
      <c r="EA10" s="69">
        <v>2750876.1500000004</v>
      </c>
      <c r="EB10" s="69">
        <v>2775291.1100000003</v>
      </c>
      <c r="EC10" s="69">
        <v>2832251.2100000004</v>
      </c>
      <c r="ED10" s="69">
        <v>2856666.1700000004</v>
      </c>
      <c r="EE10" s="69">
        <v>2881081.1300000004</v>
      </c>
      <c r="EF10" s="69">
        <v>2905496.0900000003</v>
      </c>
      <c r="EG10" s="69">
        <v>2929911.0500000003</v>
      </c>
      <c r="EH10" s="69">
        <v>2954326.0100000002</v>
      </c>
      <c r="EI10" s="69">
        <v>2978740.97</v>
      </c>
      <c r="EJ10" s="69">
        <v>3003155.93</v>
      </c>
      <c r="EK10" s="69">
        <v>3027570.89</v>
      </c>
      <c r="EL10" s="69">
        <v>3051985.85</v>
      </c>
      <c r="EM10" s="69">
        <v>3076400.81</v>
      </c>
      <c r="EN10" s="69">
        <v>3100815.77</v>
      </c>
      <c r="EO10" s="69">
        <v>3157775.87</v>
      </c>
    </row>
    <row r="11">
      <c r="A11" s="68" t="s">
        <v>84</v>
      </c>
      <c r="B11" s="48">
        <v>14671.97</v>
      </c>
      <c r="C11" s="48">
        <v>29343.94</v>
      </c>
      <c r="D11" s="48">
        <v>44015.909999999996</v>
      </c>
      <c r="E11" s="48">
        <v>58687.88</v>
      </c>
      <c r="F11" s="48">
        <v>73359.84999999999</v>
      </c>
      <c r="G11" s="48">
        <v>88031.81999999999</v>
      </c>
      <c r="H11" s="48">
        <v>102703.79</v>
      </c>
      <c r="I11" s="48">
        <v>118134.9</v>
      </c>
      <c r="J11" s="48">
        <v>133566.01</v>
      </c>
      <c r="K11" s="48">
        <v>148997.12</v>
      </c>
      <c r="L11" s="48">
        <v>164428.22999999998</v>
      </c>
      <c r="M11" s="48">
        <v>200429.00999999998</v>
      </c>
      <c r="N11" s="48">
        <v>216876.41999999998</v>
      </c>
      <c r="O11" s="48">
        <v>233323.83</v>
      </c>
      <c r="P11" s="48">
        <v>249771.24</v>
      </c>
      <c r="Q11" s="48">
        <v>266218.64999999997</v>
      </c>
      <c r="R11" s="48">
        <v>282666.05999999994</v>
      </c>
      <c r="S11" s="48">
        <v>299113.4699999999</v>
      </c>
      <c r="T11" s="48">
        <v>315560.8799999999</v>
      </c>
      <c r="U11" s="48">
        <v>332008.28999999986</v>
      </c>
      <c r="V11" s="48">
        <v>348455.69999999984</v>
      </c>
      <c r="W11" s="48">
        <v>364903.1099999998</v>
      </c>
      <c r="X11" s="48">
        <v>381350.5199999998</v>
      </c>
      <c r="Y11" s="48">
        <v>419722.3399999998</v>
      </c>
      <c r="Z11" s="48">
        <v>437204.0499999998</v>
      </c>
      <c r="AA11" s="48">
        <v>454685.75999999983</v>
      </c>
      <c r="AB11" s="48">
        <v>472167.46999999986</v>
      </c>
      <c r="AC11" s="48">
        <v>489649.1799999999</v>
      </c>
      <c r="AD11" s="48">
        <v>507130.8899999999</v>
      </c>
      <c r="AE11" s="48">
        <v>524612.5999999999</v>
      </c>
      <c r="AF11" s="48">
        <v>542094.3099999998</v>
      </c>
      <c r="AG11" s="48">
        <v>559576.0199999998</v>
      </c>
      <c r="AH11" s="48">
        <v>577057.7299999997</v>
      </c>
      <c r="AI11" s="48">
        <v>594539.4399999997</v>
      </c>
      <c r="AJ11" s="48">
        <v>612021.1499999997</v>
      </c>
      <c r="AK11" s="48">
        <v>652805.9899999996</v>
      </c>
      <c r="AL11" s="48">
        <v>671335.6299999997</v>
      </c>
      <c r="AM11" s="48">
        <v>689865.2699999997</v>
      </c>
      <c r="AN11" s="48">
        <v>708394.9099999997</v>
      </c>
      <c r="AO11" s="48">
        <v>726924.5499999997</v>
      </c>
      <c r="AP11" s="48">
        <v>745454.1899999997</v>
      </c>
      <c r="AQ11" s="48">
        <v>763983.8299999997</v>
      </c>
      <c r="AR11" s="48">
        <v>782513.4699999997</v>
      </c>
      <c r="AS11" s="48">
        <v>801043.1099999998</v>
      </c>
      <c r="AT11" s="48">
        <v>819572.7499999998</v>
      </c>
      <c r="AU11" s="48">
        <v>838102.3899999998</v>
      </c>
      <c r="AV11" s="48">
        <v>856632.0299999998</v>
      </c>
      <c r="AW11" s="48">
        <v>899861.6899999998</v>
      </c>
      <c r="AX11" s="48">
        <v>918391.3299999998</v>
      </c>
      <c r="AY11" s="48">
        <v>936920.9699999999</v>
      </c>
      <c r="AZ11" s="48">
        <v>954517.7999999998</v>
      </c>
      <c r="BA11" s="48">
        <v>972114.6299999998</v>
      </c>
      <c r="BB11" s="48">
        <v>989711.4599999997</v>
      </c>
      <c r="BC11" s="48">
        <v>1007308.2899999997</v>
      </c>
      <c r="BD11" s="48">
        <v>1024905.1199999996</v>
      </c>
      <c r="BE11" s="48">
        <v>1042501.9499999996</v>
      </c>
      <c r="BF11" s="48">
        <v>1060098.7799999996</v>
      </c>
      <c r="BG11" s="48">
        <v>1077695.6099999996</v>
      </c>
      <c r="BH11" s="48">
        <v>1095292.4399999997</v>
      </c>
      <c r="BI11" s="48">
        <v>1136345.8399999996</v>
      </c>
      <c r="BJ11" s="48">
        <v>1153978.3099999996</v>
      </c>
      <c r="BK11" s="48">
        <v>1171610.7799999996</v>
      </c>
      <c r="BL11" s="48">
        <v>1189243.2499999995</v>
      </c>
      <c r="BM11" s="48">
        <v>1206875.7199999995</v>
      </c>
      <c r="BN11" s="48">
        <v>1224508.1899999995</v>
      </c>
      <c r="BO11" s="48">
        <v>1242140.6599999995</v>
      </c>
      <c r="BP11" s="48">
        <v>1259773.1299999994</v>
      </c>
      <c r="BQ11" s="48">
        <v>1277405.5999999994</v>
      </c>
      <c r="BR11" s="48">
        <v>1295038.0699999994</v>
      </c>
      <c r="BS11" s="48">
        <v>1312670.5399999993</v>
      </c>
      <c r="BT11" s="48">
        <v>1330303.0099999993</v>
      </c>
      <c r="BU11" s="48">
        <v>1371439.5599999994</v>
      </c>
      <c r="BV11" s="48">
        <v>1389142.1599999995</v>
      </c>
      <c r="BW11" s="48">
        <v>1406844.7599999995</v>
      </c>
      <c r="BX11" s="48">
        <v>1424547.3599999996</v>
      </c>
      <c r="BY11" s="48">
        <v>1442249.9599999997</v>
      </c>
      <c r="BZ11" s="48">
        <v>1459952.5599999998</v>
      </c>
      <c r="CA11" s="48">
        <v>1477655.16</v>
      </c>
      <c r="CB11" s="48">
        <v>1495357.76</v>
      </c>
      <c r="CC11" s="48">
        <v>1513060.36</v>
      </c>
      <c r="CD11" s="69">
        <v>1530762.9600000002</v>
      </c>
      <c r="CE11" s="69">
        <v>1548465.5600000003</v>
      </c>
      <c r="CF11" s="69">
        <v>1566168.1600000004</v>
      </c>
      <c r="CG11" s="69">
        <v>1607468.3200000003</v>
      </c>
      <c r="CH11" s="69">
        <v>1625216.2000000002</v>
      </c>
      <c r="CI11" s="69">
        <v>1642964.08</v>
      </c>
      <c r="CJ11" s="69">
        <v>1660711.96</v>
      </c>
      <c r="CK11" s="69">
        <v>1678459.8399999999</v>
      </c>
      <c r="CL11" s="69">
        <v>1697670.0699999998</v>
      </c>
      <c r="CM11" s="69">
        <v>1716880.2999999998</v>
      </c>
      <c r="CN11" s="69">
        <v>1736090.5299999998</v>
      </c>
      <c r="CO11" s="69">
        <v>1755300.7599999998</v>
      </c>
      <c r="CP11" s="69">
        <v>1774510.9899999998</v>
      </c>
      <c r="CQ11" s="69">
        <v>1793721.2199999997</v>
      </c>
      <c r="CR11" s="69">
        <v>1812931.4499999997</v>
      </c>
      <c r="CS11" s="69">
        <v>1857748.9299999997</v>
      </c>
      <c r="CT11" s="69">
        <v>1876989.5599999996</v>
      </c>
      <c r="CU11" s="69">
        <v>1896241.2299999995</v>
      </c>
      <c r="CV11" s="69">
        <v>1915492.8999999994</v>
      </c>
      <c r="CW11" s="69">
        <v>1934744.5699999994</v>
      </c>
      <c r="CX11" s="69">
        <v>1953996.2399999993</v>
      </c>
      <c r="CY11" s="69">
        <v>1973247.9099999992</v>
      </c>
      <c r="CZ11" s="69">
        <v>1992499.5799999991</v>
      </c>
      <c r="DA11" s="69">
        <v>2011751.249999999</v>
      </c>
      <c r="DB11" s="69">
        <v>2031002.919999999</v>
      </c>
      <c r="DC11" s="69">
        <v>2050254.589999999</v>
      </c>
      <c r="DD11" s="69">
        <v>2069506.2599999988</v>
      </c>
      <c r="DE11" s="69">
        <v>2114420.399999999</v>
      </c>
      <c r="DF11" s="69">
        <v>2135582.479999999</v>
      </c>
      <c r="DG11" s="69">
        <v>2156744.559999999</v>
      </c>
      <c r="DH11" s="69">
        <v>2177906.639999999</v>
      </c>
      <c r="DI11" s="69">
        <v>2199068.7199999993</v>
      </c>
      <c r="DJ11" s="69">
        <v>2220230.7999999993</v>
      </c>
      <c r="DK11" s="69">
        <v>2241392.8799999994</v>
      </c>
      <c r="DL11" s="69">
        <v>2262554.9599999995</v>
      </c>
      <c r="DM11" s="69">
        <v>2283717.0399999996</v>
      </c>
      <c r="DN11" s="69">
        <v>2304879.1199999996</v>
      </c>
      <c r="DO11" s="69">
        <v>2326041.1999999997</v>
      </c>
      <c r="DP11" s="69">
        <v>2347203.28</v>
      </c>
      <c r="DQ11" s="69">
        <v>2396574.42</v>
      </c>
      <c r="DR11" s="69">
        <v>2417736.5</v>
      </c>
      <c r="DS11" s="69">
        <v>2438898.58</v>
      </c>
      <c r="DT11" s="69">
        <v>2460060.66</v>
      </c>
      <c r="DU11" s="69">
        <v>2483341.48</v>
      </c>
      <c r="DV11" s="69">
        <v>2506622.3</v>
      </c>
      <c r="DW11" s="69">
        <v>2529903.1199999996</v>
      </c>
      <c r="DX11" s="69">
        <v>2553183.9399999995</v>
      </c>
      <c r="DY11" s="69">
        <v>2576464.7599999993</v>
      </c>
      <c r="DZ11" s="69">
        <v>2599745.579999999</v>
      </c>
      <c r="EA11" s="69">
        <v>2623026.399999999</v>
      </c>
      <c r="EB11" s="69">
        <v>2646307.219999999</v>
      </c>
      <c r="EC11" s="69">
        <v>2700621.379999999</v>
      </c>
      <c r="ED11" s="69">
        <v>2723902.199999999</v>
      </c>
      <c r="EE11" s="69">
        <v>2747183.0199999986</v>
      </c>
      <c r="EF11" s="69">
        <v>2770463.8399999985</v>
      </c>
      <c r="EG11" s="69">
        <v>2793744.6599999983</v>
      </c>
      <c r="EH11" s="69">
        <v>2817025.479999998</v>
      </c>
      <c r="EI11" s="69">
        <v>2840306.299999998</v>
      </c>
      <c r="EJ11" s="69">
        <v>2863587.119999998</v>
      </c>
      <c r="EK11" s="69">
        <v>2886867.9399999976</v>
      </c>
      <c r="EL11" s="69">
        <v>2910148.7599999974</v>
      </c>
      <c r="EM11" s="69">
        <v>2933429.5799999973</v>
      </c>
      <c r="EN11" s="69">
        <v>2956710.399999997</v>
      </c>
      <c r="EO11" s="69">
        <v>3011024.5599999973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11" width="12.63"/>
  </cols>
  <sheetData>
    <row r="1">
      <c r="A1" s="32" t="s">
        <v>97</v>
      </c>
      <c r="B1" s="33" t="str">
        <f>'Página23'!B1</f>
        <v>PGFN | Real (bruto)</v>
      </c>
      <c r="C1" s="33" t="str">
        <f>'Página23'!C1</f>
        <v>PGFN | Ideal (bruto)</v>
      </c>
      <c r="D1" s="33" t="str">
        <f>'Página23'!D1</f>
        <v>SERFB | Real (bruto)</v>
      </c>
      <c r="E1" s="33" t="str">
        <f>'Página23'!E1</f>
        <v>SERFB | Ideal (bruto)</v>
      </c>
      <c r="F1" s="33" t="str">
        <f>'Página23'!F1</f>
        <v>STN (bruto)</v>
      </c>
      <c r="G1" s="33" t="str">
        <f>'Página23'!G1</f>
        <v>PGFN | Real (líquido)</v>
      </c>
      <c r="H1" s="33" t="str">
        <f>'Página23'!H1</f>
        <v>PGFN | Ideal (líquido)</v>
      </c>
      <c r="I1" s="33" t="str">
        <f>'Página23'!I1</f>
        <v>SERFB | Real (líquido)</v>
      </c>
      <c r="J1" s="33" t="str">
        <f>'Página23'!J1</f>
        <v>SERFB | Ideal (líquido)</v>
      </c>
      <c r="K1" s="33" t="str">
        <f>'Página23'!K1</f>
        <v>STN (líquido)</v>
      </c>
    </row>
    <row r="2">
      <c r="A2" s="74">
        <v>2016.0</v>
      </c>
      <c r="B2" s="48">
        <f>SUMIF('Página12'!$T$2:$T$145,$A2,'Página12'!B$2:B$145)</f>
        <v>325160.44</v>
      </c>
      <c r="C2" s="48">
        <f>SUMIF('Página12'!$T$2:$T$145,$A2,'Página12'!C$2:C$145)</f>
        <v>308061.47</v>
      </c>
      <c r="D2" s="48">
        <f>SUMIF('Página12'!$T$2:$T$145,$A2,'Página12'!D$2:D$145)</f>
        <v>314616.66</v>
      </c>
      <c r="E2" s="48">
        <f>SUMIF('Página12'!$T$2:$T$145,$A2,'Página12'!E$2:E$145)</f>
        <v>308061.47</v>
      </c>
      <c r="F2" s="48">
        <f>SUMIF('Página12'!$T$2:$T$145,$A2,'Página12'!F$2:F$145)</f>
        <v>292658.37</v>
      </c>
      <c r="G2" s="48">
        <f>SUMIF('Página12'!$T$2:$T$145,$A2,'Página12'!G$2:G$145)</f>
        <v>222764.63</v>
      </c>
      <c r="H2" s="48">
        <f>SUMIF('Página12'!$T$2:$T$145,$A2,'Página12'!H$2:H$145)</f>
        <v>210367.83</v>
      </c>
      <c r="I2" s="48">
        <f>SUMIF('Página12'!$T$2:$T$145,$A2,'Página12'!I$2:I$145)</f>
        <v>215745.83</v>
      </c>
      <c r="J2" s="48">
        <f>SUMIF('Página12'!$T$2:$T$145,$A2,'Página12'!J$2:J$145)</f>
        <v>210367.83</v>
      </c>
      <c r="K2" s="48">
        <f>SUMIF('Página12'!$T$2:$T$145,$A2,'Página12'!K$2:K$145)</f>
        <v>200429.01</v>
      </c>
    </row>
    <row r="3">
      <c r="A3" s="74">
        <v>2017.0</v>
      </c>
      <c r="B3" s="48">
        <f>SUMIF('Página12'!$T$2:$T$145,$A3,'Página12'!B$2:B$145)</f>
        <v>376515.79</v>
      </c>
      <c r="C3" s="48">
        <f>SUMIF('Página12'!$T$2:$T$145,$A3,'Página12'!C$2:C$145)</f>
        <v>338835.92</v>
      </c>
      <c r="D3" s="48">
        <f>SUMIF('Página12'!$T$2:$T$145,$A3,'Página12'!D$2:D$145)</f>
        <v>368565.05</v>
      </c>
      <c r="E3" s="48">
        <f>SUMIF('Página12'!$T$2:$T$145,$A3,'Página12'!E$2:E$145)</f>
        <v>338835.92</v>
      </c>
      <c r="F3" s="48">
        <f>SUMIF('Página12'!$T$2:$T$145,$A3,'Página12'!F$2:F$145)</f>
        <v>321894.09</v>
      </c>
      <c r="G3" s="48">
        <f>SUMIF('Página12'!$T$2:$T$145,$A3,'Página12'!G$2:G$145)</f>
        <v>258042.88</v>
      </c>
      <c r="H3" s="48">
        <f>SUMIF('Página12'!$T$2:$T$145,$A3,'Página12'!H$2:H$145)</f>
        <v>230225.03</v>
      </c>
      <c r="I3" s="48">
        <f>SUMIF('Página12'!$T$2:$T$145,$A3,'Página12'!I$2:I$145)</f>
        <v>252278.64</v>
      </c>
      <c r="J3" s="48">
        <f>SUMIF('Página12'!$T$2:$T$145,$A3,'Página12'!J$2:J$145)</f>
        <v>230225.03</v>
      </c>
      <c r="K3" s="48">
        <f>SUMIF('Página12'!$T$2:$T$145,$A3,'Página12'!K$2:K$145)</f>
        <v>219293.33</v>
      </c>
    </row>
    <row r="4">
      <c r="A4" s="74">
        <v>2018.0</v>
      </c>
      <c r="B4" s="48">
        <f>SUMIF('Página12'!$T$2:$T$145,$A4,'Página12'!B$2:B$145)</f>
        <v>427006.31</v>
      </c>
      <c r="C4" s="48">
        <f>SUMIF('Página12'!$T$2:$T$145,$A4,'Página12'!C$2:C$145)</f>
        <v>361332.84</v>
      </c>
      <c r="D4" s="48">
        <f>SUMIF('Página12'!$T$2:$T$145,$A4,'Página12'!D$2:D$145)</f>
        <v>384361.99</v>
      </c>
      <c r="E4" s="48">
        <f>SUMIF('Página12'!$T$2:$T$145,$A4,'Página12'!E$2:E$145)</f>
        <v>361332.84</v>
      </c>
      <c r="F4" s="48">
        <f>SUMIF('Página12'!$T$2:$T$145,$A4,'Página12'!F$2:F$145)</f>
        <v>343266.22</v>
      </c>
      <c r="G4" s="48">
        <f>SUMIF('Página12'!$T$2:$T$145,$A4,'Página12'!G$2:G$145)</f>
        <v>293388.78</v>
      </c>
      <c r="H4" s="48">
        <f>SUMIF('Página12'!$T$2:$T$145,$A4,'Página12'!H$2:H$145)</f>
        <v>244741.21</v>
      </c>
      <c r="I4" s="48">
        <f>SUMIF('Página12'!$T$2:$T$145,$A4,'Página12'!I$2:I$145)</f>
        <v>262471.69</v>
      </c>
      <c r="J4" s="48">
        <f>SUMIF('Página12'!$T$2:$T$145,$A4,'Página12'!J$2:J$145)</f>
        <v>244741.21</v>
      </c>
      <c r="K4" s="48">
        <f>SUMIF('Página12'!$T$2:$T$145,$A4,'Página12'!K$2:K$145)</f>
        <v>233083.65</v>
      </c>
    </row>
    <row r="5">
      <c r="A5" s="74">
        <v>2019.0</v>
      </c>
      <c r="B5" s="48">
        <f>SUMIF('Página12'!$T$2:$T$145,$A5,'Página12'!B$2:B$145)</f>
        <v>450634.33</v>
      </c>
      <c r="C5" s="48">
        <f>SUMIF('Página12'!$T$2:$T$145,$A5,'Página12'!C$2:C$145)</f>
        <v>384126.13</v>
      </c>
      <c r="D5" s="48">
        <f>SUMIF('Página12'!$T$2:$T$145,$A5,'Página12'!D$2:D$145)</f>
        <v>400038.27</v>
      </c>
      <c r="E5" s="48">
        <f>SUMIF('Página12'!$T$2:$T$145,$A5,'Página12'!E$2:E$145)</f>
        <v>384126.13</v>
      </c>
      <c r="F5" s="48">
        <f>SUMIF('Página12'!$T$2:$T$145,$A5,'Página12'!F$2:F$145)</f>
        <v>364919.81</v>
      </c>
      <c r="G5" s="48">
        <f>SUMIF('Página12'!$T$2:$T$145,$A5,'Página12'!G$2:G$145)</f>
        <v>309268.8</v>
      </c>
      <c r="H5" s="48">
        <f>SUMIF('Página12'!$T$2:$T$145,$A5,'Página12'!H$2:H$145)</f>
        <v>259448.58</v>
      </c>
      <c r="I5" s="48">
        <f>SUMIF('Página12'!$T$2:$T$145,$A5,'Página12'!I$2:I$145)</f>
        <v>272586.78</v>
      </c>
      <c r="J5" s="48">
        <f>SUMIF('Página12'!$T$2:$T$145,$A5,'Página12'!J$2:J$145)</f>
        <v>259448.58</v>
      </c>
      <c r="K5" s="48">
        <f>SUMIF('Página12'!$T$2:$T$145,$A5,'Página12'!K$2:K$145)</f>
        <v>247055.7</v>
      </c>
    </row>
    <row r="6">
      <c r="A6" s="74">
        <v>2020.0</v>
      </c>
      <c r="B6" s="48">
        <f>SUMIF('Página12'!$T$2:$T$145,$A6,'Página12'!B$2:B$145)</f>
        <v>461202.93</v>
      </c>
      <c r="C6" s="48">
        <f>SUMIF('Página12'!$T$2:$T$145,$A6,'Página12'!C$2:C$145)</f>
        <v>384126.13</v>
      </c>
      <c r="D6" s="48">
        <f>SUMIF('Página12'!$T$2:$T$145,$A6,'Página12'!D$2:D$145)</f>
        <v>400038.27</v>
      </c>
      <c r="E6" s="48">
        <f>SUMIF('Página12'!$T$2:$T$145,$A6,'Página12'!E$2:E$145)</f>
        <v>384126.13</v>
      </c>
      <c r="F6" s="48">
        <f>SUMIF('Página12'!$T$2:$T$145,$A6,'Página12'!F$2:F$145)</f>
        <v>364919.81</v>
      </c>
      <c r="G6" s="48">
        <f>SUMIF('Página12'!$T$2:$T$145,$A6,'Página12'!G$2:G$145)</f>
        <v>306402.98</v>
      </c>
      <c r="H6" s="48">
        <f>SUMIF('Página12'!$T$2:$T$145,$A6,'Página12'!H$2:H$145)</f>
        <v>247930.18</v>
      </c>
      <c r="I6" s="48">
        <f>SUMIF('Página12'!$T$2:$T$145,$A6,'Página12'!I$2:I$145)</f>
        <v>262058.66</v>
      </c>
      <c r="J6" s="48">
        <f>SUMIF('Página12'!$T$2:$T$145,$A6,'Página12'!J$2:J$145)</f>
        <v>247930.18</v>
      </c>
      <c r="K6" s="48">
        <f>SUMIF('Página12'!$T$2:$T$145,$A6,'Página12'!K$2:K$145)</f>
        <v>236484.15</v>
      </c>
    </row>
    <row r="7">
      <c r="A7" s="74">
        <v>2021.0</v>
      </c>
      <c r="B7" s="48">
        <f>SUMIF('Página12'!$T$2:$T$145,$A7,'Página12'!B$2:B$145)</f>
        <v>479167.75</v>
      </c>
      <c r="C7" s="48">
        <f>SUMIF('Página12'!$T$2:$T$145,$A7,'Página12'!C$2:C$145)</f>
        <v>384126.13</v>
      </c>
      <c r="D7" s="48">
        <f>SUMIF('Página12'!$T$2:$T$145,$A7,'Página12'!D$2:D$145)</f>
        <v>400038.27</v>
      </c>
      <c r="E7" s="48">
        <f>SUMIF('Página12'!$T$2:$T$145,$A7,'Página12'!E$2:E$145)</f>
        <v>384126.13</v>
      </c>
      <c r="F7" s="48">
        <f>SUMIF('Página12'!$T$2:$T$145,$A7,'Página12'!F$2:F$145)</f>
        <v>364919.81</v>
      </c>
      <c r="G7" s="48">
        <f>SUMIF('Página12'!$T$2:$T$145,$A7,'Página12'!G$2:G$145)</f>
        <v>318044.7</v>
      </c>
      <c r="H7" s="48">
        <f>SUMIF('Página12'!$T$2:$T$145,$A7,'Página12'!H$2:H$145)</f>
        <v>246372.63</v>
      </c>
      <c r="I7" s="48">
        <f>SUMIF('Página12'!$T$2:$T$145,$A7,'Página12'!I$2:I$145)</f>
        <v>260675.89</v>
      </c>
      <c r="J7" s="48">
        <f>SUMIF('Página12'!$T$2:$T$145,$A7,'Página12'!J$2:J$145)</f>
        <v>246372.63</v>
      </c>
      <c r="K7" s="48">
        <f>SUMIF('Página12'!$T$2:$T$145,$A7,'Página12'!K$2:K$145)</f>
        <v>235093.72</v>
      </c>
    </row>
    <row r="8">
      <c r="A8" s="74">
        <v>2022.0</v>
      </c>
      <c r="B8" s="48">
        <f>SUMIF('Página12'!$T$2:$T$145,$A8,'Página12'!B$2:B$145)</f>
        <v>517782.39</v>
      </c>
      <c r="C8" s="48">
        <f>SUMIF('Página12'!$T$2:$T$145,$A8,'Página12'!C$2:C$145)</f>
        <v>384126.13</v>
      </c>
      <c r="D8" s="48">
        <f>SUMIF('Página12'!$T$2:$T$145,$A8,'Página12'!D$2:D$145)</f>
        <v>400038.27</v>
      </c>
      <c r="E8" s="48">
        <f>SUMIF('Página12'!$T$2:$T$145,$A8,'Página12'!E$2:E$145)</f>
        <v>384126.13</v>
      </c>
      <c r="F8" s="48">
        <f>SUMIF('Página12'!$T$2:$T$145,$A8,'Página12'!F$2:F$145)</f>
        <v>364919.81</v>
      </c>
      <c r="G8" s="48">
        <f>SUMIF('Página12'!$T$2:$T$145,$A8,'Página12'!G$2:G$145)</f>
        <v>346975.33</v>
      </c>
      <c r="H8" s="48">
        <f>SUMIF('Página12'!$T$2:$T$145,$A8,'Página12'!H$2:H$145)</f>
        <v>247307.56</v>
      </c>
      <c r="I8" s="48">
        <f>SUMIF('Página12'!$T$2:$T$145,$A8,'Página12'!I$2:I$145)</f>
        <v>261610.93</v>
      </c>
      <c r="J8" s="48">
        <f>SUMIF('Página12'!$T$2:$T$145,$A8,'Página12'!J$2:J$145)</f>
        <v>247307.56</v>
      </c>
      <c r="K8" s="48">
        <f>SUMIF('Página12'!$T$2:$T$145,$A8,'Página12'!K$2:K$145)</f>
        <v>236028.76</v>
      </c>
    </row>
    <row r="9">
      <c r="A9" s="74">
        <v>2023.0</v>
      </c>
      <c r="B9" s="48">
        <f>SUMIF('Página12'!$T$2:$T$145,$A9,'Página12'!B$2:B$145)</f>
        <v>543982.39</v>
      </c>
      <c r="C9" s="48">
        <f>SUMIF('Página12'!$T$2:$T$145,$A9,'Página12'!C$2:C$145)</f>
        <v>408325.77</v>
      </c>
      <c r="D9" s="48">
        <f>SUMIF('Página12'!$T$2:$T$145,$A9,'Página12'!D$2:D$145)</f>
        <v>422972.53</v>
      </c>
      <c r="E9" s="48">
        <f>SUMIF('Página12'!$T$2:$T$145,$A9,'Página12'!E$2:E$145)</f>
        <v>408325.77</v>
      </c>
      <c r="F9" s="48">
        <f>SUMIF('Página12'!$T$2:$T$145,$A9,'Página12'!F$2:F$145)</f>
        <v>387909.51</v>
      </c>
      <c r="G9" s="48">
        <f>SUMIF('Página12'!$T$2:$T$145,$A9,'Página12'!G$2:G$145)</f>
        <v>363562.26</v>
      </c>
      <c r="H9" s="48">
        <f>SUMIF('Página12'!$T$2:$T$145,$A9,'Página12'!H$2:H$145)</f>
        <v>262270.12</v>
      </c>
      <c r="I9" s="48">
        <f>SUMIF('Página12'!$T$2:$T$145,$A9,'Página12'!I$2:I$145)</f>
        <v>275830.28</v>
      </c>
      <c r="J9" s="48">
        <f>SUMIF('Página12'!$T$2:$T$145,$A9,'Página12'!J$2:J$145)</f>
        <v>262270.12</v>
      </c>
      <c r="K9" s="48">
        <f>SUMIF('Página12'!$T$2:$T$145,$A9,'Página12'!K$2:K$145)</f>
        <v>250280.61</v>
      </c>
    </row>
    <row r="10">
      <c r="A10" s="74">
        <v>2024.0</v>
      </c>
      <c r="B10" s="48">
        <f>SUMIF('Página12'!$T$2:$T$145,$A10,'Página12'!B$2:B$145)</f>
        <v>579717.99</v>
      </c>
      <c r="C10" s="48">
        <f>SUMIF('Página12'!$T$2:$T$145,$A10,'Página12'!C$2:C$145)</f>
        <v>418697.41</v>
      </c>
      <c r="D10" s="48">
        <f>SUMIF('Página12'!$T$2:$T$145,$A10,'Página12'!D$2:D$145)</f>
        <v>452301.25</v>
      </c>
      <c r="E10" s="48">
        <f>SUMIF('Página12'!$T$2:$T$145,$A10,'Página12'!E$2:E$145)</f>
        <v>418697.41</v>
      </c>
      <c r="F10" s="48">
        <f>SUMIF('Página12'!$T$2:$T$145,$A10,'Página12'!F$2:F$145)</f>
        <v>397762.59</v>
      </c>
      <c r="G10" s="48">
        <f>SUMIF('Página12'!$T$2:$T$145,$A10,'Página12'!G$2:G$145)</f>
        <v>388721.08</v>
      </c>
      <c r="H10" s="48">
        <f>SUMIF('Página12'!$T$2:$T$145,$A10,'Página12'!H$2:H$145)</f>
        <v>268965.43</v>
      </c>
      <c r="I10" s="48">
        <f>SUMIF('Página12'!$T$2:$T$145,$A10,'Página12'!I$2:I$145)</f>
        <v>296344.17</v>
      </c>
      <c r="J10" s="48">
        <f>SUMIF('Página12'!$T$2:$T$145,$A10,'Página12'!J$2:J$145)</f>
        <v>268965.43</v>
      </c>
      <c r="K10" s="48">
        <f>SUMIF('Página12'!$T$2:$T$145,$A10,'Página12'!K$2:K$145)</f>
        <v>256671.47</v>
      </c>
    </row>
    <row r="11">
      <c r="A11" s="74">
        <v>2025.0</v>
      </c>
      <c r="B11" s="48">
        <f>SUMIF('Página12'!$T$2:$T$145,$A11,'Página12'!B$2:B$145)</f>
        <v>610366.89</v>
      </c>
      <c r="C11" s="48">
        <f>SUMIF('Página12'!$T$2:$T$145,$A11,'Página12'!C$2:C$145)</f>
        <v>464354.67</v>
      </c>
      <c r="D11" s="48">
        <f>SUMIF('Página12'!$T$2:$T$145,$A11,'Página12'!D$2:D$145)</f>
        <v>479000.65</v>
      </c>
      <c r="E11" s="48">
        <f>SUMIF('Página12'!$T$2:$T$145,$A11,'Página12'!E$2:E$145)</f>
        <v>464354.67</v>
      </c>
      <c r="F11" s="48">
        <f>SUMIF('Página12'!$T$2:$T$145,$A11,'Página12'!F$2:F$145)</f>
        <v>441136.97</v>
      </c>
      <c r="G11" s="48">
        <f>SUMIF('Página12'!$T$2:$T$145,$A11,'Página12'!G$2:G$145)</f>
        <v>410952.58</v>
      </c>
      <c r="H11" s="48">
        <f>SUMIF('Página12'!$T$2:$T$145,$A11,'Página12'!H$2:H$145)</f>
        <v>295788.73</v>
      </c>
      <c r="I11" s="48">
        <f>SUMIF('Página12'!$T$2:$T$145,$A11,'Página12'!I$2:I$145)</f>
        <v>315712.28</v>
      </c>
      <c r="J11" s="48">
        <f>SUMIF('Página12'!$T$2:$T$145,$A11,'Página12'!J$2:J$145)</f>
        <v>295788.73</v>
      </c>
      <c r="K11" s="48">
        <f>SUMIF('Página12'!$T$2:$T$145,$A11,'Página12'!K$2:K$145)</f>
        <v>282154.02</v>
      </c>
    </row>
    <row r="12">
      <c r="A12" s="74">
        <v>2026.0</v>
      </c>
      <c r="B12" s="48">
        <f>SUMIF('Página12'!$T$2:$T$145,$A12,'Página12'!B$2:B$145)</f>
        <v>612665.62</v>
      </c>
      <c r="C12" s="48">
        <f>SUMIF('Página12'!$T$2:$T$145,$A12,'Página12'!C$2:C$145)</f>
        <v>503597.23</v>
      </c>
      <c r="D12" s="48">
        <f>SUMIF('Página12'!$T$2:$T$145,$A12,'Página12'!D$2:D$145)</f>
        <v>522649.3</v>
      </c>
      <c r="E12" s="48">
        <f>SUMIF('Página12'!$T$2:$T$145,$A12,'Página12'!E$2:E$145)</f>
        <v>503597.23</v>
      </c>
      <c r="F12" s="48">
        <f>SUMIF('Página12'!$T$2:$T$145,$A12,'Página12'!F$2:F$145)</f>
        <v>478417.4</v>
      </c>
      <c r="G12" s="48">
        <f>SUMIF('Página12'!$T$2:$T$145,$A12,'Página12'!G$2:G$145)</f>
        <v>412619.16</v>
      </c>
      <c r="H12" s="48">
        <f>SUMIF('Página12'!$T$2:$T$145,$A12,'Página12'!H$2:H$145)</f>
        <v>318833.91</v>
      </c>
      <c r="I12" s="48">
        <f>SUMIF('Página12'!$T$2:$T$145,$A12,'Página12'!I$2:I$145)</f>
        <v>347357.55</v>
      </c>
      <c r="J12" s="48">
        <f>SUMIF('Página12'!$T$2:$T$145,$A12,'Página12'!J$2:J$145)</f>
        <v>318833.91</v>
      </c>
      <c r="K12" s="48">
        <f>SUMIF('Página12'!$T$2:$T$145,$A12,'Página12'!K$2:K$145)</f>
        <v>304046.96</v>
      </c>
    </row>
    <row r="13">
      <c r="A13" s="74">
        <v>2027.0</v>
      </c>
      <c r="B13" s="48">
        <f>SUMIF('Página12'!$T$2:$T$145,$A13,'Página12'!B$2:B$145)</f>
        <v>612665.62</v>
      </c>
      <c r="C13" s="48">
        <f>SUMIF('Página12'!$T$2:$T$145,$A13,'Página12'!C$2:C$145)</f>
        <v>514990.6</v>
      </c>
      <c r="D13" s="48">
        <f>SUMIF('Página12'!$T$2:$T$145,$A13,'Página12'!D$2:D$145)</f>
        <v>539266.93</v>
      </c>
      <c r="E13" s="48">
        <f>SUMIF('Página12'!$T$2:$T$145,$A13,'Página12'!E$2:E$145)</f>
        <v>514990.6</v>
      </c>
      <c r="F13" s="48">
        <f>SUMIF('Página12'!$T$2:$T$145,$A13,'Página12'!F$2:F$145)</f>
        <v>489241.1</v>
      </c>
      <c r="G13" s="48">
        <f>SUMIF('Página12'!$T$2:$T$145,$A13,'Página12'!G$2:G$145)</f>
        <v>412619.16</v>
      </c>
      <c r="H13" s="48">
        <f>SUMIF('Página12'!$T$2:$T$145,$A13,'Página12'!H$2:H$145)</f>
        <v>325524.66</v>
      </c>
      <c r="I13" s="48">
        <f>SUMIF('Página12'!$T$2:$T$145,$A13,'Página12'!I$2:I$145)</f>
        <v>359405.31</v>
      </c>
      <c r="J13" s="48">
        <f>SUMIF('Página12'!$T$2:$T$145,$A13,'Página12'!J$2:J$145)</f>
        <v>325524.66</v>
      </c>
      <c r="K13" s="48">
        <f>SUMIF('Página12'!$T$2:$T$145,$A13,'Página12'!K$2:K$145)</f>
        <v>310403.18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4" width="11.38"/>
    <col customWidth="1" min="5" max="5" width="15.75"/>
  </cols>
  <sheetData>
    <row r="1">
      <c r="A1" s="32" t="s">
        <v>97</v>
      </c>
      <c r="B1" s="33" t="s">
        <v>104</v>
      </c>
      <c r="C1" s="33" t="s">
        <v>105</v>
      </c>
      <c r="D1" s="33" t="s">
        <v>106</v>
      </c>
      <c r="E1" s="32" t="s">
        <v>101</v>
      </c>
    </row>
    <row r="2">
      <c r="A2" s="74">
        <v>2016.0</v>
      </c>
      <c r="B2" s="75">
        <f>'Página28'!F2</f>
        <v>292658.37</v>
      </c>
      <c r="C2" s="75">
        <f>'Página28'!D2</f>
        <v>314616.66</v>
      </c>
      <c r="D2" s="75">
        <f>'Página28'!B2</f>
        <v>325160.44</v>
      </c>
      <c r="E2" s="77" t="s">
        <v>116</v>
      </c>
    </row>
    <row r="3">
      <c r="A3" s="74">
        <v>2017.0</v>
      </c>
      <c r="B3" s="75">
        <f>'Página28'!F3</f>
        <v>321894.09</v>
      </c>
      <c r="C3" s="75">
        <f>'Página28'!D3</f>
        <v>368565.05</v>
      </c>
      <c r="D3" s="75">
        <f>'Página28'!B3</f>
        <v>376515.79</v>
      </c>
      <c r="E3" s="77" t="str">
        <f t="shared" ref="E3:E13" si="1">E2</f>
        <v>Real (bruto)</v>
      </c>
    </row>
    <row r="4">
      <c r="A4" s="74">
        <v>2018.0</v>
      </c>
      <c r="B4" s="75">
        <f>'Página28'!F4</f>
        <v>343266.22</v>
      </c>
      <c r="C4" s="75">
        <f>'Página28'!D4</f>
        <v>384361.99</v>
      </c>
      <c r="D4" s="75">
        <f>'Página28'!B4</f>
        <v>427006.31</v>
      </c>
      <c r="E4" s="77" t="str">
        <f t="shared" si="1"/>
        <v>Real (bruto)</v>
      </c>
    </row>
    <row r="5">
      <c r="A5" s="74">
        <v>2019.0</v>
      </c>
      <c r="B5" s="75">
        <f>'Página28'!F5</f>
        <v>364919.81</v>
      </c>
      <c r="C5" s="75">
        <f>'Página28'!D5</f>
        <v>400038.27</v>
      </c>
      <c r="D5" s="75">
        <f>'Página28'!B5</f>
        <v>450634.33</v>
      </c>
      <c r="E5" s="77" t="str">
        <f t="shared" si="1"/>
        <v>Real (bruto)</v>
      </c>
    </row>
    <row r="6">
      <c r="A6" s="74">
        <v>2020.0</v>
      </c>
      <c r="B6" s="75">
        <f>'Página28'!F6</f>
        <v>364919.81</v>
      </c>
      <c r="C6" s="75">
        <f>'Página28'!D6</f>
        <v>400038.27</v>
      </c>
      <c r="D6" s="75">
        <f>'Página28'!B6</f>
        <v>461202.93</v>
      </c>
      <c r="E6" s="77" t="str">
        <f t="shared" si="1"/>
        <v>Real (bruto)</v>
      </c>
    </row>
    <row r="7">
      <c r="A7" s="74">
        <v>2021.0</v>
      </c>
      <c r="B7" s="75">
        <f>'Página28'!F7</f>
        <v>364919.81</v>
      </c>
      <c r="C7" s="75">
        <f>'Página28'!D7</f>
        <v>400038.27</v>
      </c>
      <c r="D7" s="75">
        <f>'Página28'!B7</f>
        <v>479167.75</v>
      </c>
      <c r="E7" s="77" t="str">
        <f t="shared" si="1"/>
        <v>Real (bruto)</v>
      </c>
    </row>
    <row r="8">
      <c r="A8" s="74">
        <v>2022.0</v>
      </c>
      <c r="B8" s="75">
        <f>'Página28'!F8</f>
        <v>364919.81</v>
      </c>
      <c r="C8" s="75">
        <f>'Página28'!D8</f>
        <v>400038.27</v>
      </c>
      <c r="D8" s="75">
        <f>'Página28'!B8</f>
        <v>517782.39</v>
      </c>
      <c r="E8" s="77" t="str">
        <f t="shared" si="1"/>
        <v>Real (bruto)</v>
      </c>
    </row>
    <row r="9">
      <c r="A9" s="74">
        <v>2023.0</v>
      </c>
      <c r="B9" s="75">
        <f>'Página28'!F9</f>
        <v>387909.51</v>
      </c>
      <c r="C9" s="75">
        <f>'Página28'!D9</f>
        <v>422972.53</v>
      </c>
      <c r="D9" s="75">
        <f>'Página28'!B9</f>
        <v>543982.39</v>
      </c>
      <c r="E9" s="77" t="str">
        <f t="shared" si="1"/>
        <v>Real (bruto)</v>
      </c>
    </row>
    <row r="10">
      <c r="A10" s="74">
        <v>2024.0</v>
      </c>
      <c r="B10" s="75">
        <f>'Página28'!F10</f>
        <v>397762.59</v>
      </c>
      <c r="C10" s="75">
        <f>'Página28'!D10</f>
        <v>452301.25</v>
      </c>
      <c r="D10" s="75">
        <f>'Página28'!B10</f>
        <v>579717.99</v>
      </c>
      <c r="E10" s="77" t="str">
        <f t="shared" si="1"/>
        <v>Real (bruto)</v>
      </c>
    </row>
    <row r="11">
      <c r="A11" s="74">
        <v>2025.0</v>
      </c>
      <c r="B11" s="75">
        <f>'Página28'!F11</f>
        <v>441136.97</v>
      </c>
      <c r="C11" s="75">
        <f>'Página28'!D11</f>
        <v>479000.65</v>
      </c>
      <c r="D11" s="75">
        <f>'Página28'!B11</f>
        <v>610366.89</v>
      </c>
      <c r="E11" s="77" t="str">
        <f t="shared" si="1"/>
        <v>Real (bruto)</v>
      </c>
    </row>
    <row r="12">
      <c r="A12" s="74">
        <v>2026.0</v>
      </c>
      <c r="B12" s="75">
        <f>'Página28'!F12</f>
        <v>478417.4</v>
      </c>
      <c r="C12" s="75">
        <f>'Página28'!D12</f>
        <v>522649.3</v>
      </c>
      <c r="D12" s="75">
        <f>'Página28'!B12</f>
        <v>612665.62</v>
      </c>
      <c r="E12" s="77" t="str">
        <f t="shared" si="1"/>
        <v>Real (bruto)</v>
      </c>
    </row>
    <row r="13">
      <c r="A13" s="74">
        <v>2027.0</v>
      </c>
      <c r="B13" s="75">
        <f>'Página28'!F13</f>
        <v>489241.1</v>
      </c>
      <c r="C13" s="75">
        <f>'Página28'!D13</f>
        <v>539266.93</v>
      </c>
      <c r="D13" s="75">
        <f>'Página28'!B13</f>
        <v>612665.62</v>
      </c>
      <c r="E13" s="77" t="str">
        <f t="shared" si="1"/>
        <v>Real (bruto)</v>
      </c>
    </row>
    <row r="14">
      <c r="A14" s="74">
        <f t="shared" ref="A14:A49" si="2">A2</f>
        <v>2016</v>
      </c>
      <c r="B14" s="83">
        <f>'Página28'!K2</f>
        <v>200429.01</v>
      </c>
      <c r="C14" s="83">
        <f>'Página28'!I2</f>
        <v>215745.83</v>
      </c>
      <c r="D14" s="83">
        <f>'Página28'!G2</f>
        <v>222764.63</v>
      </c>
      <c r="E14" s="78" t="s">
        <v>117</v>
      </c>
    </row>
    <row r="15">
      <c r="A15" s="74">
        <f t="shared" si="2"/>
        <v>2017</v>
      </c>
      <c r="B15" s="83">
        <f>'Página28'!K3</f>
        <v>219293.33</v>
      </c>
      <c r="C15" s="83">
        <f>'Página28'!I3</f>
        <v>252278.64</v>
      </c>
      <c r="D15" s="83">
        <f>'Página28'!G3</f>
        <v>258042.88</v>
      </c>
      <c r="E15" s="78" t="str">
        <f t="shared" ref="E15:E25" si="3">E14</f>
        <v>Real (líquido)</v>
      </c>
    </row>
    <row r="16">
      <c r="A16" s="74">
        <f t="shared" si="2"/>
        <v>2018</v>
      </c>
      <c r="B16" s="83">
        <f>'Página28'!K4</f>
        <v>233083.65</v>
      </c>
      <c r="C16" s="83">
        <f>'Página28'!I4</f>
        <v>262471.69</v>
      </c>
      <c r="D16" s="83">
        <f>'Página28'!G4</f>
        <v>293388.78</v>
      </c>
      <c r="E16" s="78" t="str">
        <f t="shared" si="3"/>
        <v>Real (líquido)</v>
      </c>
    </row>
    <row r="17">
      <c r="A17" s="74">
        <f t="shared" si="2"/>
        <v>2019</v>
      </c>
      <c r="B17" s="83">
        <f>'Página28'!K5</f>
        <v>247055.7</v>
      </c>
      <c r="C17" s="83">
        <f>'Página28'!I5</f>
        <v>272586.78</v>
      </c>
      <c r="D17" s="83">
        <f>'Página28'!G5</f>
        <v>309268.8</v>
      </c>
      <c r="E17" s="78" t="str">
        <f t="shared" si="3"/>
        <v>Real (líquido)</v>
      </c>
    </row>
    <row r="18">
      <c r="A18" s="74">
        <f t="shared" si="2"/>
        <v>2020</v>
      </c>
      <c r="B18" s="83">
        <f>'Página28'!K6</f>
        <v>236484.15</v>
      </c>
      <c r="C18" s="83">
        <f>'Página28'!I6</f>
        <v>262058.66</v>
      </c>
      <c r="D18" s="83">
        <f>'Página28'!G6</f>
        <v>306402.98</v>
      </c>
      <c r="E18" s="78" t="str">
        <f t="shared" si="3"/>
        <v>Real (líquido)</v>
      </c>
    </row>
    <row r="19">
      <c r="A19" s="74">
        <f t="shared" si="2"/>
        <v>2021</v>
      </c>
      <c r="B19" s="83">
        <f>'Página28'!K7</f>
        <v>235093.72</v>
      </c>
      <c r="C19" s="83">
        <f>'Página28'!I7</f>
        <v>260675.89</v>
      </c>
      <c r="D19" s="83">
        <f>'Página28'!G7</f>
        <v>318044.7</v>
      </c>
      <c r="E19" s="78" t="str">
        <f t="shared" si="3"/>
        <v>Real (líquido)</v>
      </c>
    </row>
    <row r="20">
      <c r="A20" s="74">
        <f t="shared" si="2"/>
        <v>2022</v>
      </c>
      <c r="B20" s="83">
        <f>'Página28'!K8</f>
        <v>236028.76</v>
      </c>
      <c r="C20" s="83">
        <f>'Página28'!I8</f>
        <v>261610.93</v>
      </c>
      <c r="D20" s="83">
        <f>'Página28'!G8</f>
        <v>346975.33</v>
      </c>
      <c r="E20" s="78" t="str">
        <f t="shared" si="3"/>
        <v>Real (líquido)</v>
      </c>
    </row>
    <row r="21">
      <c r="A21" s="74">
        <f t="shared" si="2"/>
        <v>2023</v>
      </c>
      <c r="B21" s="83">
        <f>'Página28'!K9</f>
        <v>250280.61</v>
      </c>
      <c r="C21" s="83">
        <f>'Página28'!I9</f>
        <v>275830.28</v>
      </c>
      <c r="D21" s="83">
        <f>'Página28'!G9</f>
        <v>363562.26</v>
      </c>
      <c r="E21" s="78" t="str">
        <f t="shared" si="3"/>
        <v>Real (líquido)</v>
      </c>
    </row>
    <row r="22">
      <c r="A22" s="74">
        <f t="shared" si="2"/>
        <v>2024</v>
      </c>
      <c r="B22" s="83">
        <f>'Página28'!K10</f>
        <v>256671.47</v>
      </c>
      <c r="C22" s="83">
        <f>'Página28'!I10</f>
        <v>296344.17</v>
      </c>
      <c r="D22" s="83">
        <f>'Página28'!G10</f>
        <v>388721.08</v>
      </c>
      <c r="E22" s="78" t="str">
        <f t="shared" si="3"/>
        <v>Real (líquido)</v>
      </c>
    </row>
    <row r="23">
      <c r="A23" s="74">
        <f t="shared" si="2"/>
        <v>2025</v>
      </c>
      <c r="B23" s="83">
        <f>'Página28'!K11</f>
        <v>282154.02</v>
      </c>
      <c r="C23" s="83">
        <f>'Página28'!I11</f>
        <v>315712.28</v>
      </c>
      <c r="D23" s="83">
        <f>'Página28'!G11</f>
        <v>410952.58</v>
      </c>
      <c r="E23" s="78" t="str">
        <f t="shared" si="3"/>
        <v>Real (líquido)</v>
      </c>
    </row>
    <row r="24">
      <c r="A24" s="74">
        <f t="shared" si="2"/>
        <v>2026</v>
      </c>
      <c r="B24" s="83">
        <f>'Página28'!K12</f>
        <v>304046.96</v>
      </c>
      <c r="C24" s="83">
        <f>'Página28'!I12</f>
        <v>347357.55</v>
      </c>
      <c r="D24" s="83">
        <f>'Página28'!G12</f>
        <v>412619.16</v>
      </c>
      <c r="E24" s="78" t="str">
        <f t="shared" si="3"/>
        <v>Real (líquido)</v>
      </c>
    </row>
    <row r="25">
      <c r="A25" s="74">
        <f t="shared" si="2"/>
        <v>2027</v>
      </c>
      <c r="B25" s="83">
        <f>'Página28'!K13</f>
        <v>310403.18</v>
      </c>
      <c r="C25" s="83">
        <f>'Página28'!I13</f>
        <v>359405.31</v>
      </c>
      <c r="D25" s="83">
        <f>'Página28'!G13</f>
        <v>412619.16</v>
      </c>
      <c r="E25" s="78" t="str">
        <f t="shared" si="3"/>
        <v>Real (líquido)</v>
      </c>
    </row>
    <row r="26">
      <c r="A26" s="74">
        <f t="shared" si="2"/>
        <v>2016</v>
      </c>
      <c r="B26" s="75">
        <f>'Página28'!F2</f>
        <v>292658.37</v>
      </c>
      <c r="C26" s="75">
        <f>'Página28'!E2</f>
        <v>308061.47</v>
      </c>
      <c r="D26" s="75">
        <f>'Página28'!C2</f>
        <v>308061.47</v>
      </c>
      <c r="E26" s="77" t="s">
        <v>118</v>
      </c>
    </row>
    <row r="27">
      <c r="A27" s="74">
        <f t="shared" si="2"/>
        <v>2017</v>
      </c>
      <c r="B27" s="75">
        <f>'Página28'!F3</f>
        <v>321894.09</v>
      </c>
      <c r="C27" s="75">
        <f>'Página28'!E3</f>
        <v>338835.92</v>
      </c>
      <c r="D27" s="75">
        <f>'Página28'!C3</f>
        <v>338835.92</v>
      </c>
      <c r="E27" s="77" t="str">
        <f t="shared" ref="E27:E37" si="4">E26</f>
        <v>Ideal (bruto)</v>
      </c>
    </row>
    <row r="28">
      <c r="A28" s="74">
        <f t="shared" si="2"/>
        <v>2018</v>
      </c>
      <c r="B28" s="75">
        <f>'Página28'!F4</f>
        <v>343266.22</v>
      </c>
      <c r="C28" s="75">
        <f>'Página28'!E4</f>
        <v>361332.84</v>
      </c>
      <c r="D28" s="75">
        <f>'Página28'!C4</f>
        <v>361332.84</v>
      </c>
      <c r="E28" s="77" t="str">
        <f t="shared" si="4"/>
        <v>Ideal (bruto)</v>
      </c>
    </row>
    <row r="29">
      <c r="A29" s="74">
        <f t="shared" si="2"/>
        <v>2019</v>
      </c>
      <c r="B29" s="75">
        <f>'Página28'!F5</f>
        <v>364919.81</v>
      </c>
      <c r="C29" s="75">
        <f>'Página28'!E5</f>
        <v>384126.13</v>
      </c>
      <c r="D29" s="75">
        <f>'Página28'!C5</f>
        <v>384126.13</v>
      </c>
      <c r="E29" s="77" t="str">
        <f t="shared" si="4"/>
        <v>Ideal (bruto)</v>
      </c>
    </row>
    <row r="30">
      <c r="A30" s="74">
        <f t="shared" si="2"/>
        <v>2020</v>
      </c>
      <c r="B30" s="75">
        <f>'Página28'!F6</f>
        <v>364919.81</v>
      </c>
      <c r="C30" s="75">
        <f>'Página28'!E6</f>
        <v>384126.13</v>
      </c>
      <c r="D30" s="75">
        <f>'Página28'!C6</f>
        <v>384126.13</v>
      </c>
      <c r="E30" s="77" t="str">
        <f t="shared" si="4"/>
        <v>Ideal (bruto)</v>
      </c>
    </row>
    <row r="31">
      <c r="A31" s="74">
        <f t="shared" si="2"/>
        <v>2021</v>
      </c>
      <c r="B31" s="75">
        <f>'Página28'!F7</f>
        <v>364919.81</v>
      </c>
      <c r="C31" s="75">
        <f>'Página28'!E7</f>
        <v>384126.13</v>
      </c>
      <c r="D31" s="75">
        <f>'Página28'!C7</f>
        <v>384126.13</v>
      </c>
      <c r="E31" s="77" t="str">
        <f t="shared" si="4"/>
        <v>Ideal (bruto)</v>
      </c>
    </row>
    <row r="32">
      <c r="A32" s="74">
        <f t="shared" si="2"/>
        <v>2022</v>
      </c>
      <c r="B32" s="75">
        <f>'Página28'!F8</f>
        <v>364919.81</v>
      </c>
      <c r="C32" s="75">
        <f>'Página28'!E8</f>
        <v>384126.13</v>
      </c>
      <c r="D32" s="75">
        <f>'Página28'!C8</f>
        <v>384126.13</v>
      </c>
      <c r="E32" s="77" t="str">
        <f t="shared" si="4"/>
        <v>Ideal (bruto)</v>
      </c>
    </row>
    <row r="33">
      <c r="A33" s="74">
        <f t="shared" si="2"/>
        <v>2023</v>
      </c>
      <c r="B33" s="75">
        <f>'Página28'!F9</f>
        <v>387909.51</v>
      </c>
      <c r="C33" s="75">
        <f>'Página28'!E9</f>
        <v>408325.77</v>
      </c>
      <c r="D33" s="75">
        <f>'Página28'!C9</f>
        <v>408325.77</v>
      </c>
      <c r="E33" s="77" t="str">
        <f t="shared" si="4"/>
        <v>Ideal (bruto)</v>
      </c>
    </row>
    <row r="34">
      <c r="A34" s="74">
        <f t="shared" si="2"/>
        <v>2024</v>
      </c>
      <c r="B34" s="75">
        <f>'Página28'!F10</f>
        <v>397762.59</v>
      </c>
      <c r="C34" s="75">
        <f>'Página28'!E10</f>
        <v>418697.41</v>
      </c>
      <c r="D34" s="75">
        <f>'Página28'!C10</f>
        <v>418697.41</v>
      </c>
      <c r="E34" s="77" t="str">
        <f t="shared" si="4"/>
        <v>Ideal (bruto)</v>
      </c>
    </row>
    <row r="35">
      <c r="A35" s="74">
        <f t="shared" si="2"/>
        <v>2025</v>
      </c>
      <c r="B35" s="75">
        <f>'Página28'!F11</f>
        <v>441136.97</v>
      </c>
      <c r="C35" s="75">
        <f>'Página28'!E11</f>
        <v>464354.67</v>
      </c>
      <c r="D35" s="75">
        <f>'Página28'!C11</f>
        <v>464354.67</v>
      </c>
      <c r="E35" s="77" t="str">
        <f t="shared" si="4"/>
        <v>Ideal (bruto)</v>
      </c>
    </row>
    <row r="36">
      <c r="A36" s="74">
        <f t="shared" si="2"/>
        <v>2026</v>
      </c>
      <c r="B36" s="75">
        <f>'Página28'!F12</f>
        <v>478417.4</v>
      </c>
      <c r="C36" s="75">
        <f>'Página28'!E12</f>
        <v>503597.23</v>
      </c>
      <c r="D36" s="75">
        <f>'Página28'!C12</f>
        <v>503597.23</v>
      </c>
      <c r="E36" s="77" t="str">
        <f t="shared" si="4"/>
        <v>Ideal (bruto)</v>
      </c>
    </row>
    <row r="37">
      <c r="A37" s="74">
        <f t="shared" si="2"/>
        <v>2027</v>
      </c>
      <c r="B37" s="75">
        <f>'Página28'!F13</f>
        <v>489241.1</v>
      </c>
      <c r="C37" s="75">
        <f>'Página28'!E13</f>
        <v>514990.6</v>
      </c>
      <c r="D37" s="75">
        <f>'Página28'!C13</f>
        <v>514990.6</v>
      </c>
      <c r="E37" s="77" t="str">
        <f t="shared" si="4"/>
        <v>Ideal (bruto)</v>
      </c>
    </row>
    <row r="38">
      <c r="A38" s="74">
        <f t="shared" si="2"/>
        <v>2016</v>
      </c>
      <c r="B38" s="75">
        <f>'Página28'!K2</f>
        <v>200429.01</v>
      </c>
      <c r="C38" s="75">
        <f>'Página28'!J2</f>
        <v>210367.83</v>
      </c>
      <c r="D38" s="75">
        <f>'Página28'!H2</f>
        <v>210367.83</v>
      </c>
      <c r="E38" s="78" t="s">
        <v>119</v>
      </c>
    </row>
    <row r="39">
      <c r="A39" s="74">
        <f t="shared" si="2"/>
        <v>2017</v>
      </c>
      <c r="B39" s="75">
        <f>'Página28'!K3</f>
        <v>219293.33</v>
      </c>
      <c r="C39" s="75">
        <f>'Página28'!J3</f>
        <v>230225.03</v>
      </c>
      <c r="D39" s="75">
        <f>'Página28'!H3</f>
        <v>230225.03</v>
      </c>
      <c r="E39" s="78" t="str">
        <f t="shared" ref="E39:E49" si="5">E38</f>
        <v>Ideal (líquido)</v>
      </c>
    </row>
    <row r="40">
      <c r="A40" s="74">
        <f t="shared" si="2"/>
        <v>2018</v>
      </c>
      <c r="B40" s="75">
        <f>'Página28'!K4</f>
        <v>233083.65</v>
      </c>
      <c r="C40" s="75">
        <f>'Página28'!J4</f>
        <v>244741.21</v>
      </c>
      <c r="D40" s="75">
        <f>'Página28'!H4</f>
        <v>244741.21</v>
      </c>
      <c r="E40" s="78" t="str">
        <f t="shared" si="5"/>
        <v>Ideal (líquido)</v>
      </c>
    </row>
    <row r="41">
      <c r="A41" s="74">
        <f t="shared" si="2"/>
        <v>2019</v>
      </c>
      <c r="B41" s="75">
        <f>'Página28'!K5</f>
        <v>247055.7</v>
      </c>
      <c r="C41" s="75">
        <f>'Página28'!J5</f>
        <v>259448.58</v>
      </c>
      <c r="D41" s="75">
        <f>'Página28'!H5</f>
        <v>259448.58</v>
      </c>
      <c r="E41" s="78" t="str">
        <f t="shared" si="5"/>
        <v>Ideal (líquido)</v>
      </c>
    </row>
    <row r="42">
      <c r="A42" s="74">
        <f t="shared" si="2"/>
        <v>2020</v>
      </c>
      <c r="B42" s="75">
        <f>'Página28'!K6</f>
        <v>236484.15</v>
      </c>
      <c r="C42" s="75">
        <f>'Página28'!J6</f>
        <v>247930.18</v>
      </c>
      <c r="D42" s="75">
        <f>'Página28'!H6</f>
        <v>247930.18</v>
      </c>
      <c r="E42" s="78" t="str">
        <f t="shared" si="5"/>
        <v>Ideal (líquido)</v>
      </c>
    </row>
    <row r="43">
      <c r="A43" s="74">
        <f t="shared" si="2"/>
        <v>2021</v>
      </c>
      <c r="B43" s="75">
        <f>'Página28'!K7</f>
        <v>235093.72</v>
      </c>
      <c r="C43" s="75">
        <f>'Página28'!J7</f>
        <v>246372.63</v>
      </c>
      <c r="D43" s="75">
        <f>'Página28'!H7</f>
        <v>246372.63</v>
      </c>
      <c r="E43" s="78" t="str">
        <f t="shared" si="5"/>
        <v>Ideal (líquido)</v>
      </c>
    </row>
    <row r="44">
      <c r="A44" s="74">
        <f t="shared" si="2"/>
        <v>2022</v>
      </c>
      <c r="B44" s="75">
        <f>'Página28'!K8</f>
        <v>236028.76</v>
      </c>
      <c r="C44" s="75">
        <f>'Página28'!J8</f>
        <v>247307.56</v>
      </c>
      <c r="D44" s="75">
        <f>'Página28'!H8</f>
        <v>247307.56</v>
      </c>
      <c r="E44" s="78" t="str">
        <f t="shared" si="5"/>
        <v>Ideal (líquido)</v>
      </c>
    </row>
    <row r="45">
      <c r="A45" s="74">
        <f t="shared" si="2"/>
        <v>2023</v>
      </c>
      <c r="B45" s="75">
        <f>'Página28'!K9</f>
        <v>250280.61</v>
      </c>
      <c r="C45" s="75">
        <f>'Página28'!J9</f>
        <v>262270.12</v>
      </c>
      <c r="D45" s="75">
        <f>'Página28'!H9</f>
        <v>262270.12</v>
      </c>
      <c r="E45" s="78" t="str">
        <f t="shared" si="5"/>
        <v>Ideal (líquido)</v>
      </c>
    </row>
    <row r="46">
      <c r="A46" s="74">
        <f t="shared" si="2"/>
        <v>2024</v>
      </c>
      <c r="B46" s="75">
        <f>'Página28'!K10</f>
        <v>256671.47</v>
      </c>
      <c r="C46" s="75">
        <f>'Página28'!J10</f>
        <v>268965.43</v>
      </c>
      <c r="D46" s="75">
        <f>'Página28'!H10</f>
        <v>268965.43</v>
      </c>
      <c r="E46" s="78" t="str">
        <f t="shared" si="5"/>
        <v>Ideal (líquido)</v>
      </c>
    </row>
    <row r="47">
      <c r="A47" s="74">
        <f t="shared" si="2"/>
        <v>2025</v>
      </c>
      <c r="B47" s="75">
        <f>'Página28'!K11</f>
        <v>282154.02</v>
      </c>
      <c r="C47" s="75">
        <f>'Página28'!J11</f>
        <v>295788.73</v>
      </c>
      <c r="D47" s="75">
        <f>'Página28'!H11</f>
        <v>295788.73</v>
      </c>
      <c r="E47" s="78" t="str">
        <f t="shared" si="5"/>
        <v>Ideal (líquido)</v>
      </c>
    </row>
    <row r="48">
      <c r="A48" s="74">
        <f t="shared" si="2"/>
        <v>2026</v>
      </c>
      <c r="B48" s="75">
        <f>'Página28'!K12</f>
        <v>304046.96</v>
      </c>
      <c r="C48" s="75">
        <f>'Página28'!J12</f>
        <v>318833.91</v>
      </c>
      <c r="D48" s="75">
        <f>'Página28'!H12</f>
        <v>318833.91</v>
      </c>
      <c r="E48" s="78" t="str">
        <f t="shared" si="5"/>
        <v>Ideal (líquido)</v>
      </c>
    </row>
    <row r="49">
      <c r="A49" s="74">
        <f t="shared" si="2"/>
        <v>2027</v>
      </c>
      <c r="B49" s="75">
        <f>'Página28'!K13</f>
        <v>310403.18</v>
      </c>
      <c r="C49" s="75">
        <f>'Página28'!J13</f>
        <v>325524.66</v>
      </c>
      <c r="D49" s="75">
        <f>'Página28'!H13</f>
        <v>325524.66</v>
      </c>
      <c r="E49" s="78" t="str">
        <f t="shared" si="5"/>
        <v>Ideal (líquido)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.0"/>
    <col customWidth="1" min="3" max="3" width="4.63"/>
    <col customWidth="1" min="4" max="4" width="5.88"/>
    <col customWidth="1" min="5" max="5" width="10.63"/>
    <col customWidth="1" min="6" max="6" width="15.0"/>
    <col customWidth="1" min="7" max="7" width="22.13"/>
    <col customWidth="1" min="8" max="19" width="9.38"/>
    <col customWidth="1" min="20" max="23" width="10.75"/>
  </cols>
  <sheetData>
    <row r="1">
      <c r="A1" s="79"/>
      <c r="B1" s="79"/>
      <c r="C1" s="79"/>
      <c r="D1" s="79"/>
      <c r="E1" s="79"/>
      <c r="F1" s="79" t="s">
        <v>107</v>
      </c>
      <c r="G1" s="79" t="s">
        <v>101</v>
      </c>
      <c r="H1" s="80">
        <v>2016.0</v>
      </c>
      <c r="I1" s="79">
        <f t="shared" ref="I1:S1" si="1">H1+1</f>
        <v>2017</v>
      </c>
      <c r="J1" s="79">
        <f t="shared" si="1"/>
        <v>2018</v>
      </c>
      <c r="K1" s="79">
        <f t="shared" si="1"/>
        <v>2019</v>
      </c>
      <c r="L1" s="79">
        <f t="shared" si="1"/>
        <v>2020</v>
      </c>
      <c r="M1" s="79">
        <f t="shared" si="1"/>
        <v>2021</v>
      </c>
      <c r="N1" s="79">
        <f t="shared" si="1"/>
        <v>2022</v>
      </c>
      <c r="O1" s="79">
        <f t="shared" si="1"/>
        <v>2023</v>
      </c>
      <c r="P1" s="79">
        <f t="shared" si="1"/>
        <v>2024</v>
      </c>
      <c r="Q1" s="79">
        <f t="shared" si="1"/>
        <v>2025</v>
      </c>
      <c r="R1" s="79">
        <f t="shared" si="1"/>
        <v>2026</v>
      </c>
      <c r="S1" s="79">
        <f t="shared" si="1"/>
        <v>2027</v>
      </c>
      <c r="T1" s="80" t="s">
        <v>108</v>
      </c>
      <c r="U1" s="80" t="s">
        <v>109</v>
      </c>
      <c r="V1" s="84" t="s">
        <v>110</v>
      </c>
      <c r="W1" s="84" t="s">
        <v>111</v>
      </c>
    </row>
    <row r="2">
      <c r="A2" s="80" t="s">
        <v>104</v>
      </c>
      <c r="B2" s="80"/>
      <c r="C2" s="80" t="s">
        <v>120</v>
      </c>
      <c r="D2" s="80" t="s">
        <v>102</v>
      </c>
      <c r="E2" s="80" t="s">
        <v>121</v>
      </c>
      <c r="F2" s="80" t="str">
        <f t="shared" ref="F2:F25" si="3">IF(B2="",A2,CONCATENATE(A2," (",B2,")"))</f>
        <v>AFFC</v>
      </c>
      <c r="G2" s="80" t="str">
        <f t="shared" ref="G2:G25" si="4">CONCATENATE(C2," (",D2,")"," | ",E2)</f>
        <v>Real (bruto) | MONTANTE</v>
      </c>
      <c r="H2" s="62">
        <f>HLOOKUP($A2,'Página29'!$A:$E,H$1-2016+2,FALSE)</f>
        <v>292658.37</v>
      </c>
      <c r="I2" s="62">
        <f>HLOOKUP($A2,'Página29'!$A:$E,I$1-2016+2,FALSE)</f>
        <v>321894.09</v>
      </c>
      <c r="J2" s="62">
        <f>HLOOKUP($A2,'Página29'!$A:$E,J$1-2016+2,FALSE)</f>
        <v>343266.22</v>
      </c>
      <c r="K2" s="62">
        <f>HLOOKUP($A2,'Página29'!$A:$E,K$1-2016+2,FALSE)</f>
        <v>364919.81</v>
      </c>
      <c r="L2" s="62">
        <f>HLOOKUP($A2,'Página29'!$A:$E,L$1-2016+2,FALSE)</f>
        <v>364919.81</v>
      </c>
      <c r="M2" s="62">
        <f>HLOOKUP($A2,'Página29'!$A:$E,M$1-2016+2,FALSE)</f>
        <v>364919.81</v>
      </c>
      <c r="N2" s="62">
        <f>HLOOKUP($A2,'Página29'!$A:$E,N$1-2016+2,FALSE)</f>
        <v>364919.81</v>
      </c>
      <c r="O2" s="62">
        <f>HLOOKUP($A2,'Página29'!$A:$E,O$1-2016+2,FALSE)</f>
        <v>387909.51</v>
      </c>
      <c r="P2" s="62">
        <f>HLOOKUP($A2,'Página29'!$A:$E,P$1-2016+2,FALSE)</f>
        <v>397762.59</v>
      </c>
      <c r="Q2" s="62">
        <f>HLOOKUP($A2,'Página29'!$A:$E,Q$1-2016+2,FALSE)</f>
        <v>441136.97</v>
      </c>
      <c r="R2" s="62">
        <f>HLOOKUP($A2,'Página29'!$A:$E,R$1-2016+2,FALSE)</f>
        <v>478417.4</v>
      </c>
      <c r="S2" s="62">
        <f>HLOOKUP($A2,'Página29'!$A:$E,S$1-2016+2,FALSE)</f>
        <v>489241.1</v>
      </c>
      <c r="T2" s="62">
        <f t="shared" ref="T2:T25" si="5">SUM(H2:K2)</f>
        <v>1322738.49</v>
      </c>
      <c r="U2" s="62">
        <f t="shared" ref="U2:U25" si="6">SUM(L2:O2)</f>
        <v>1482668.94</v>
      </c>
      <c r="V2" s="47">
        <f t="shared" ref="V2:V25" si="7">SUM(P2:S2)</f>
        <v>1806558.06</v>
      </c>
      <c r="W2" s="47">
        <f t="shared" ref="W2:W25" si="8">SUM(T2:V2)</f>
        <v>4611965.49</v>
      </c>
    </row>
    <row r="3">
      <c r="A3" s="80" t="s">
        <v>105</v>
      </c>
      <c r="B3" s="80" t="s">
        <v>122</v>
      </c>
      <c r="C3" s="79" t="str">
        <f t="shared" ref="C3:E3" si="2">C2</f>
        <v>Real</v>
      </c>
      <c r="D3" s="79" t="str">
        <f t="shared" si="2"/>
        <v>bruto</v>
      </c>
      <c r="E3" s="79" t="str">
        <f t="shared" si="2"/>
        <v>MONTANTE</v>
      </c>
      <c r="F3" s="80" t="str">
        <f t="shared" si="3"/>
        <v>AFRFB (com BEP)</v>
      </c>
      <c r="G3" s="80" t="str">
        <f t="shared" si="4"/>
        <v>Real (bruto) | MONTANTE</v>
      </c>
      <c r="H3" s="62">
        <f>HLOOKUP($A3,'Página29'!$A:$E,H$1-2016+2,FALSE)</f>
        <v>314616.66</v>
      </c>
      <c r="I3" s="62">
        <f>HLOOKUP($A3,'Página29'!$A:$E,I$1-2016+2,FALSE)</f>
        <v>368565.05</v>
      </c>
      <c r="J3" s="62">
        <f>HLOOKUP($A3,'Página29'!$A:$E,J$1-2016+2,FALSE)</f>
        <v>384361.99</v>
      </c>
      <c r="K3" s="62">
        <f>HLOOKUP($A3,'Página29'!$A:$E,K$1-2016+2,FALSE)</f>
        <v>400038.27</v>
      </c>
      <c r="L3" s="62">
        <f>HLOOKUP($A3,'Página29'!$A:$E,L$1-2016+2,FALSE)</f>
        <v>400038.27</v>
      </c>
      <c r="M3" s="62">
        <f>HLOOKUP($A3,'Página29'!$A:$E,M$1-2016+2,FALSE)</f>
        <v>400038.27</v>
      </c>
      <c r="N3" s="62">
        <f>HLOOKUP($A3,'Página29'!$A:$E,N$1-2016+2,FALSE)</f>
        <v>400038.27</v>
      </c>
      <c r="O3" s="62">
        <f>HLOOKUP($A3,'Página29'!$A:$E,O$1-2016+2,FALSE)</f>
        <v>422972.53</v>
      </c>
      <c r="P3" s="62">
        <f>HLOOKUP($A3,'Página29'!$A:$E,P$1-2016+2,FALSE)</f>
        <v>452301.25</v>
      </c>
      <c r="Q3" s="62">
        <f>HLOOKUP($A3,'Página29'!$A:$E,Q$1-2016+2,FALSE)</f>
        <v>479000.65</v>
      </c>
      <c r="R3" s="62">
        <f>HLOOKUP($A3,'Página29'!$A:$E,R$1-2016+2,FALSE)</f>
        <v>522649.3</v>
      </c>
      <c r="S3" s="62">
        <f>HLOOKUP($A3,'Página29'!$A:$E,S$1-2016+2,FALSE)</f>
        <v>539266.93</v>
      </c>
      <c r="T3" s="62">
        <f t="shared" si="5"/>
        <v>1467581.97</v>
      </c>
      <c r="U3" s="62">
        <f t="shared" si="6"/>
        <v>1623087.34</v>
      </c>
      <c r="V3" s="47">
        <f t="shared" si="7"/>
        <v>1993218.13</v>
      </c>
      <c r="W3" s="47">
        <f t="shared" si="8"/>
        <v>5083887.44</v>
      </c>
    </row>
    <row r="4">
      <c r="A4" s="80" t="s">
        <v>106</v>
      </c>
      <c r="B4" s="80" t="s">
        <v>123</v>
      </c>
      <c r="C4" s="79" t="str">
        <f t="shared" ref="C4:E4" si="9">C3</f>
        <v>Real</v>
      </c>
      <c r="D4" s="79" t="str">
        <f t="shared" si="9"/>
        <v>bruto</v>
      </c>
      <c r="E4" s="79" t="str">
        <f t="shared" si="9"/>
        <v>MONTANTE</v>
      </c>
      <c r="F4" s="80" t="str">
        <f t="shared" si="3"/>
        <v>PFN (com HAS)</v>
      </c>
      <c r="G4" s="80" t="str">
        <f t="shared" si="4"/>
        <v>Real (bruto) | MONTANTE</v>
      </c>
      <c r="H4" s="62">
        <f>HLOOKUP($A4,'Página29'!$A:$E,H$1-2016+2,FALSE)</f>
        <v>325160.44</v>
      </c>
      <c r="I4" s="62">
        <f>HLOOKUP($A4,'Página29'!$A:$E,I$1-2016+2,FALSE)</f>
        <v>376515.79</v>
      </c>
      <c r="J4" s="62">
        <f>HLOOKUP($A4,'Página29'!$A:$E,J$1-2016+2,FALSE)</f>
        <v>427006.31</v>
      </c>
      <c r="K4" s="62">
        <f>HLOOKUP($A4,'Página29'!$A:$E,K$1-2016+2,FALSE)</f>
        <v>450634.33</v>
      </c>
      <c r="L4" s="62">
        <f>HLOOKUP($A4,'Página29'!$A:$E,L$1-2016+2,FALSE)</f>
        <v>461202.93</v>
      </c>
      <c r="M4" s="62">
        <f>HLOOKUP($A4,'Página29'!$A:$E,M$1-2016+2,FALSE)</f>
        <v>479167.75</v>
      </c>
      <c r="N4" s="62">
        <f>HLOOKUP($A4,'Página29'!$A:$E,N$1-2016+2,FALSE)</f>
        <v>517782.39</v>
      </c>
      <c r="O4" s="62">
        <f>HLOOKUP($A4,'Página29'!$A:$E,O$1-2016+2,FALSE)</f>
        <v>543982.39</v>
      </c>
      <c r="P4" s="62">
        <f>HLOOKUP($A4,'Página29'!$A:$E,P$1-2016+2,FALSE)</f>
        <v>579717.99</v>
      </c>
      <c r="Q4" s="62">
        <f>HLOOKUP($A4,'Página29'!$A:$E,Q$1-2016+2,FALSE)</f>
        <v>610366.89</v>
      </c>
      <c r="R4" s="62">
        <f>HLOOKUP($A4,'Página29'!$A:$E,R$1-2016+2,FALSE)</f>
        <v>612665.62</v>
      </c>
      <c r="S4" s="62">
        <f>HLOOKUP($A4,'Página29'!$A:$E,S$1-2016+2,FALSE)</f>
        <v>612665.62</v>
      </c>
      <c r="T4" s="62">
        <f t="shared" si="5"/>
        <v>1579316.87</v>
      </c>
      <c r="U4" s="62">
        <f t="shared" si="6"/>
        <v>2002135.46</v>
      </c>
      <c r="V4" s="47">
        <f t="shared" si="7"/>
        <v>2415416.12</v>
      </c>
      <c r="W4" s="47">
        <f t="shared" si="8"/>
        <v>5996868.45</v>
      </c>
    </row>
    <row r="5">
      <c r="A5" s="79" t="str">
        <f t="shared" ref="A5:B5" si="10">A2</f>
        <v>AFFC</v>
      </c>
      <c r="B5" s="80" t="str">
        <f t="shared" si="10"/>
        <v/>
      </c>
      <c r="C5" s="79" t="str">
        <f t="shared" ref="C5:D5" si="11">C4</f>
        <v>Real</v>
      </c>
      <c r="D5" s="79" t="str">
        <f t="shared" si="11"/>
        <v>bruto</v>
      </c>
      <c r="E5" s="80" t="s">
        <v>124</v>
      </c>
      <c r="F5" s="80" t="str">
        <f t="shared" si="3"/>
        <v>AFFC</v>
      </c>
      <c r="G5" s="80" t="str">
        <f t="shared" si="4"/>
        <v>Real (bruto) | DIFERENÇA</v>
      </c>
      <c r="H5" s="62">
        <f t="shared" ref="H5:S5" si="12">H2-H$2</f>
        <v>0</v>
      </c>
      <c r="I5" s="62">
        <f t="shared" si="12"/>
        <v>0</v>
      </c>
      <c r="J5" s="62">
        <f t="shared" si="12"/>
        <v>0</v>
      </c>
      <c r="K5" s="62">
        <f t="shared" si="12"/>
        <v>0</v>
      </c>
      <c r="L5" s="62">
        <f t="shared" si="12"/>
        <v>0</v>
      </c>
      <c r="M5" s="62">
        <f t="shared" si="12"/>
        <v>0</v>
      </c>
      <c r="N5" s="62">
        <f t="shared" si="12"/>
        <v>0</v>
      </c>
      <c r="O5" s="62">
        <f t="shared" si="12"/>
        <v>0</v>
      </c>
      <c r="P5" s="62">
        <f t="shared" si="12"/>
        <v>0</v>
      </c>
      <c r="Q5" s="62">
        <f t="shared" si="12"/>
        <v>0</v>
      </c>
      <c r="R5" s="62">
        <f t="shared" si="12"/>
        <v>0</v>
      </c>
      <c r="S5" s="62">
        <f t="shared" si="12"/>
        <v>0</v>
      </c>
      <c r="T5" s="62">
        <f t="shared" si="5"/>
        <v>0</v>
      </c>
      <c r="U5" s="62">
        <f t="shared" si="6"/>
        <v>0</v>
      </c>
      <c r="V5" s="47">
        <f t="shared" si="7"/>
        <v>0</v>
      </c>
      <c r="W5" s="47">
        <f t="shared" si="8"/>
        <v>0</v>
      </c>
    </row>
    <row r="6">
      <c r="A6" s="79" t="str">
        <f t="shared" ref="A6:B6" si="13">A3</f>
        <v>AFRFB</v>
      </c>
      <c r="B6" s="80" t="str">
        <f t="shared" si="13"/>
        <v>com BEP</v>
      </c>
      <c r="C6" s="79" t="str">
        <f t="shared" ref="C6:E6" si="14">C5</f>
        <v>Real</v>
      </c>
      <c r="D6" s="79" t="str">
        <f t="shared" si="14"/>
        <v>bruto</v>
      </c>
      <c r="E6" s="79" t="str">
        <f t="shared" si="14"/>
        <v>DIFERENÇA</v>
      </c>
      <c r="F6" s="80" t="str">
        <f t="shared" si="3"/>
        <v>AFRFB (com BEP)</v>
      </c>
      <c r="G6" s="80" t="str">
        <f t="shared" si="4"/>
        <v>Real (bruto) | DIFERENÇA</v>
      </c>
      <c r="H6" s="62">
        <f t="shared" ref="H6:S6" si="15">H3-H$2</f>
        <v>21958.29</v>
      </c>
      <c r="I6" s="62">
        <f t="shared" si="15"/>
        <v>46670.96</v>
      </c>
      <c r="J6" s="62">
        <f t="shared" si="15"/>
        <v>41095.77</v>
      </c>
      <c r="K6" s="62">
        <f t="shared" si="15"/>
        <v>35118.46</v>
      </c>
      <c r="L6" s="62">
        <f t="shared" si="15"/>
        <v>35118.46</v>
      </c>
      <c r="M6" s="62">
        <f t="shared" si="15"/>
        <v>35118.46</v>
      </c>
      <c r="N6" s="62">
        <f t="shared" si="15"/>
        <v>35118.46</v>
      </c>
      <c r="O6" s="62">
        <f t="shared" si="15"/>
        <v>35063.02</v>
      </c>
      <c r="P6" s="62">
        <f t="shared" si="15"/>
        <v>54538.66</v>
      </c>
      <c r="Q6" s="62">
        <f t="shared" si="15"/>
        <v>37863.68</v>
      </c>
      <c r="R6" s="62">
        <f t="shared" si="15"/>
        <v>44231.9</v>
      </c>
      <c r="S6" s="62">
        <f t="shared" si="15"/>
        <v>50025.83</v>
      </c>
      <c r="T6" s="62">
        <f t="shared" si="5"/>
        <v>144843.48</v>
      </c>
      <c r="U6" s="62">
        <f t="shared" si="6"/>
        <v>140418.4</v>
      </c>
      <c r="V6" s="47">
        <f t="shared" si="7"/>
        <v>186660.07</v>
      </c>
      <c r="W6" s="47">
        <f t="shared" si="8"/>
        <v>471921.95</v>
      </c>
    </row>
    <row r="7">
      <c r="A7" s="79" t="str">
        <f t="shared" ref="A7:B7" si="16">A4</f>
        <v>PFN</v>
      </c>
      <c r="B7" s="80" t="str">
        <f t="shared" si="16"/>
        <v>com HAS</v>
      </c>
      <c r="C7" s="79" t="str">
        <f t="shared" ref="C7:E7" si="17">C6</f>
        <v>Real</v>
      </c>
      <c r="D7" s="79" t="str">
        <f t="shared" si="17"/>
        <v>bruto</v>
      </c>
      <c r="E7" s="79" t="str">
        <f t="shared" si="17"/>
        <v>DIFERENÇA</v>
      </c>
      <c r="F7" s="80" t="str">
        <f t="shared" si="3"/>
        <v>PFN (com HAS)</v>
      </c>
      <c r="G7" s="80" t="str">
        <f t="shared" si="4"/>
        <v>Real (bruto) | DIFERENÇA</v>
      </c>
      <c r="H7" s="62">
        <f t="shared" ref="H7:S7" si="18">H4-H$2</f>
        <v>32502.07</v>
      </c>
      <c r="I7" s="62">
        <f t="shared" si="18"/>
        <v>54621.7</v>
      </c>
      <c r="J7" s="62">
        <f t="shared" si="18"/>
        <v>83740.09</v>
      </c>
      <c r="K7" s="62">
        <f t="shared" si="18"/>
        <v>85714.52</v>
      </c>
      <c r="L7" s="62">
        <f t="shared" si="18"/>
        <v>96283.12</v>
      </c>
      <c r="M7" s="62">
        <f t="shared" si="18"/>
        <v>114247.94</v>
      </c>
      <c r="N7" s="62">
        <f t="shared" si="18"/>
        <v>152862.58</v>
      </c>
      <c r="O7" s="62">
        <f t="shared" si="18"/>
        <v>156072.88</v>
      </c>
      <c r="P7" s="62">
        <f t="shared" si="18"/>
        <v>181955.4</v>
      </c>
      <c r="Q7" s="62">
        <f t="shared" si="18"/>
        <v>169229.92</v>
      </c>
      <c r="R7" s="62">
        <f t="shared" si="18"/>
        <v>134248.22</v>
      </c>
      <c r="S7" s="62">
        <f t="shared" si="18"/>
        <v>123424.52</v>
      </c>
      <c r="T7" s="62">
        <f t="shared" si="5"/>
        <v>256578.38</v>
      </c>
      <c r="U7" s="62">
        <f t="shared" si="6"/>
        <v>519466.52</v>
      </c>
      <c r="V7" s="47">
        <f t="shared" si="7"/>
        <v>608858.06</v>
      </c>
      <c r="W7" s="47">
        <f t="shared" si="8"/>
        <v>1384902.96</v>
      </c>
    </row>
    <row r="8">
      <c r="A8" s="79" t="str">
        <f t="shared" ref="A8:B8" si="19">A5</f>
        <v>AFFC</v>
      </c>
      <c r="B8" s="80" t="str">
        <f t="shared" si="19"/>
        <v/>
      </c>
      <c r="C8" s="79" t="str">
        <f t="shared" ref="C8:C13" si="21">C7</f>
        <v>Real</v>
      </c>
      <c r="D8" s="80" t="s">
        <v>103</v>
      </c>
      <c r="E8" s="80" t="str">
        <f t="shared" ref="E8:E25" si="22">E2</f>
        <v>MONTANTE</v>
      </c>
      <c r="F8" s="80" t="str">
        <f t="shared" si="3"/>
        <v>AFFC</v>
      </c>
      <c r="G8" s="80" t="str">
        <f t="shared" si="4"/>
        <v>Real (líquido) | MONTANTE</v>
      </c>
      <c r="H8" s="62">
        <f>HLOOKUP($A8,'Página29'!$A:$E,H$1-2016+2+12,FALSE)</f>
        <v>200429.01</v>
      </c>
      <c r="I8" s="62">
        <f>HLOOKUP($A8,'Página29'!$A:$E,I$1-2016+2+12,FALSE)</f>
        <v>219293.33</v>
      </c>
      <c r="J8" s="62">
        <f>HLOOKUP($A8,'Página29'!$A:$E,J$1-2016+2+12,FALSE)</f>
        <v>233083.65</v>
      </c>
      <c r="K8" s="62">
        <f>HLOOKUP($A8,'Página29'!$A:$E,K$1-2016+2+12,FALSE)</f>
        <v>247055.7</v>
      </c>
      <c r="L8" s="62">
        <f>HLOOKUP($A8,'Página29'!$A:$E,L$1-2016+2+12,FALSE)</f>
        <v>236484.15</v>
      </c>
      <c r="M8" s="62">
        <f>HLOOKUP($A8,'Página29'!$A:$E,M$1-2016+2+12,FALSE)</f>
        <v>235093.72</v>
      </c>
      <c r="N8" s="62">
        <f>HLOOKUP($A8,'Página29'!$A:$E,N$1-2016+2+12,FALSE)</f>
        <v>236028.76</v>
      </c>
      <c r="O8" s="62">
        <f>HLOOKUP($A8,'Página29'!$A:$E,O$1-2016+2+12,FALSE)</f>
        <v>250280.61</v>
      </c>
      <c r="P8" s="62">
        <f>HLOOKUP($A8,'Página29'!$A:$E,P$1-2016+2+12,FALSE)</f>
        <v>256671.47</v>
      </c>
      <c r="Q8" s="62">
        <f>HLOOKUP($A8,'Página29'!$A:$E,Q$1-2016+2+12,FALSE)</f>
        <v>282154.02</v>
      </c>
      <c r="R8" s="62">
        <f>HLOOKUP($A8,'Página29'!$A:$E,R$1-2016+2+12,FALSE)</f>
        <v>304046.96</v>
      </c>
      <c r="S8" s="62">
        <f>HLOOKUP($A8,'Página29'!$A:$E,S$1-2016+2+12,FALSE)</f>
        <v>310403.18</v>
      </c>
      <c r="T8" s="62">
        <f t="shared" si="5"/>
        <v>899861.69</v>
      </c>
      <c r="U8" s="62">
        <f t="shared" si="6"/>
        <v>957887.24</v>
      </c>
      <c r="V8" s="47">
        <f t="shared" si="7"/>
        <v>1153275.63</v>
      </c>
      <c r="W8" s="47">
        <f t="shared" si="8"/>
        <v>3011024.56</v>
      </c>
    </row>
    <row r="9">
      <c r="A9" s="79" t="str">
        <f t="shared" ref="A9:B9" si="20">A6</f>
        <v>AFRFB</v>
      </c>
      <c r="B9" s="80" t="str">
        <f t="shared" si="20"/>
        <v>com BEP</v>
      </c>
      <c r="C9" s="79" t="str">
        <f t="shared" si="21"/>
        <v>Real</v>
      </c>
      <c r="D9" s="79" t="str">
        <f t="shared" ref="D9:D13" si="24">D8</f>
        <v>líquido</v>
      </c>
      <c r="E9" s="80" t="str">
        <f t="shared" si="22"/>
        <v>MONTANTE</v>
      </c>
      <c r="F9" s="80" t="str">
        <f t="shared" si="3"/>
        <v>AFRFB (com BEP)</v>
      </c>
      <c r="G9" s="80" t="str">
        <f t="shared" si="4"/>
        <v>Real (líquido) | MONTANTE</v>
      </c>
      <c r="H9" s="62">
        <f>HLOOKUP($A9,'Página29'!$A:$E,H$1-2016+2+12,FALSE)</f>
        <v>215745.83</v>
      </c>
      <c r="I9" s="62">
        <f>HLOOKUP($A9,'Página29'!$A:$E,I$1-2016+2+12,FALSE)</f>
        <v>252278.64</v>
      </c>
      <c r="J9" s="62">
        <f>HLOOKUP($A9,'Página29'!$A:$E,J$1-2016+2+12,FALSE)</f>
        <v>262471.69</v>
      </c>
      <c r="K9" s="62">
        <f>HLOOKUP($A9,'Página29'!$A:$E,K$1-2016+2+12,FALSE)</f>
        <v>272586.78</v>
      </c>
      <c r="L9" s="62">
        <f>HLOOKUP($A9,'Página29'!$A:$E,L$1-2016+2+12,FALSE)</f>
        <v>262058.66</v>
      </c>
      <c r="M9" s="62">
        <f>HLOOKUP($A9,'Página29'!$A:$E,M$1-2016+2+12,FALSE)</f>
        <v>260675.89</v>
      </c>
      <c r="N9" s="62">
        <f>HLOOKUP($A9,'Página29'!$A:$E,N$1-2016+2+12,FALSE)</f>
        <v>261610.93</v>
      </c>
      <c r="O9" s="62">
        <f>HLOOKUP($A9,'Página29'!$A:$E,O$1-2016+2+12,FALSE)</f>
        <v>275830.28</v>
      </c>
      <c r="P9" s="62">
        <f>HLOOKUP($A9,'Página29'!$A:$E,P$1-2016+2+12,FALSE)</f>
        <v>296344.17</v>
      </c>
      <c r="Q9" s="62">
        <f>HLOOKUP($A9,'Página29'!$A:$E,Q$1-2016+2+12,FALSE)</f>
        <v>315712.28</v>
      </c>
      <c r="R9" s="62">
        <f>HLOOKUP($A9,'Página29'!$A:$E,R$1-2016+2+12,FALSE)</f>
        <v>347357.55</v>
      </c>
      <c r="S9" s="62">
        <f>HLOOKUP($A9,'Página29'!$A:$E,S$1-2016+2+12,FALSE)</f>
        <v>359405.31</v>
      </c>
      <c r="T9" s="62">
        <f t="shared" si="5"/>
        <v>1003082.94</v>
      </c>
      <c r="U9" s="62">
        <f t="shared" si="6"/>
        <v>1060175.76</v>
      </c>
      <c r="V9" s="47">
        <f t="shared" si="7"/>
        <v>1318819.31</v>
      </c>
      <c r="W9" s="47">
        <f t="shared" si="8"/>
        <v>3382078.01</v>
      </c>
    </row>
    <row r="10">
      <c r="A10" s="79" t="str">
        <f t="shared" ref="A10:B10" si="23">A7</f>
        <v>PFN</v>
      </c>
      <c r="B10" s="80" t="str">
        <f t="shared" si="23"/>
        <v>com HAS</v>
      </c>
      <c r="C10" s="79" t="str">
        <f t="shared" si="21"/>
        <v>Real</v>
      </c>
      <c r="D10" s="79" t="str">
        <f t="shared" si="24"/>
        <v>líquido</v>
      </c>
      <c r="E10" s="80" t="str">
        <f t="shared" si="22"/>
        <v>MONTANTE</v>
      </c>
      <c r="F10" s="80" t="str">
        <f t="shared" si="3"/>
        <v>PFN (com HAS)</v>
      </c>
      <c r="G10" s="80" t="str">
        <f t="shared" si="4"/>
        <v>Real (líquido) | MONTANTE</v>
      </c>
      <c r="H10" s="62">
        <f>HLOOKUP($A10,'Página29'!$A:$E,H$1-2016+2+12,FALSE)</f>
        <v>222764.63</v>
      </c>
      <c r="I10" s="62">
        <f>HLOOKUP($A10,'Página29'!$A:$E,I$1-2016+2+12,FALSE)</f>
        <v>258042.88</v>
      </c>
      <c r="J10" s="62">
        <f>HLOOKUP($A10,'Página29'!$A:$E,J$1-2016+2+12,FALSE)</f>
        <v>293388.78</v>
      </c>
      <c r="K10" s="62">
        <f>HLOOKUP($A10,'Página29'!$A:$E,K$1-2016+2+12,FALSE)</f>
        <v>309268.8</v>
      </c>
      <c r="L10" s="62">
        <f>HLOOKUP($A10,'Página29'!$A:$E,L$1-2016+2+12,FALSE)</f>
        <v>306402.98</v>
      </c>
      <c r="M10" s="62">
        <f>HLOOKUP($A10,'Página29'!$A:$E,M$1-2016+2+12,FALSE)</f>
        <v>318044.7</v>
      </c>
      <c r="N10" s="62">
        <f>HLOOKUP($A10,'Página29'!$A:$E,N$1-2016+2+12,FALSE)</f>
        <v>346975.33</v>
      </c>
      <c r="O10" s="62">
        <f>HLOOKUP($A10,'Página29'!$A:$E,O$1-2016+2+12,FALSE)</f>
        <v>363562.26</v>
      </c>
      <c r="P10" s="62">
        <f>HLOOKUP($A10,'Página29'!$A:$E,P$1-2016+2+12,FALSE)</f>
        <v>388721.08</v>
      </c>
      <c r="Q10" s="62">
        <f>HLOOKUP($A10,'Página29'!$A:$E,Q$1-2016+2+12,FALSE)</f>
        <v>410952.58</v>
      </c>
      <c r="R10" s="62">
        <f>HLOOKUP($A10,'Página29'!$A:$E,R$1-2016+2+12,FALSE)</f>
        <v>412619.16</v>
      </c>
      <c r="S10" s="62">
        <f>HLOOKUP($A10,'Página29'!$A:$E,S$1-2016+2+12,FALSE)</f>
        <v>412619.16</v>
      </c>
      <c r="T10" s="62">
        <f t="shared" si="5"/>
        <v>1083465.09</v>
      </c>
      <c r="U10" s="62">
        <f t="shared" si="6"/>
        <v>1334985.27</v>
      </c>
      <c r="V10" s="47">
        <f t="shared" si="7"/>
        <v>1624911.98</v>
      </c>
      <c r="W10" s="47">
        <f t="shared" si="8"/>
        <v>4043362.34</v>
      </c>
    </row>
    <row r="11">
      <c r="A11" s="79" t="str">
        <f t="shared" ref="A11:B11" si="25">A8</f>
        <v>AFFC</v>
      </c>
      <c r="B11" s="80" t="str">
        <f t="shared" si="25"/>
        <v/>
      </c>
      <c r="C11" s="79" t="str">
        <f t="shared" si="21"/>
        <v>Real</v>
      </c>
      <c r="D11" s="79" t="str">
        <f t="shared" si="24"/>
        <v>líquido</v>
      </c>
      <c r="E11" s="80" t="str">
        <f t="shared" si="22"/>
        <v>DIFERENÇA</v>
      </c>
      <c r="F11" s="80" t="str">
        <f t="shared" si="3"/>
        <v>AFFC</v>
      </c>
      <c r="G11" s="80" t="str">
        <f t="shared" si="4"/>
        <v>Real (líquido) | DIFERENÇA</v>
      </c>
      <c r="H11" s="62">
        <f t="shared" ref="H11:S11" si="26">H8-H$8</f>
        <v>0</v>
      </c>
      <c r="I11" s="62">
        <f t="shared" si="26"/>
        <v>0</v>
      </c>
      <c r="J11" s="62">
        <f t="shared" si="26"/>
        <v>0</v>
      </c>
      <c r="K11" s="62">
        <f t="shared" si="26"/>
        <v>0</v>
      </c>
      <c r="L11" s="62">
        <f t="shared" si="26"/>
        <v>0</v>
      </c>
      <c r="M11" s="62">
        <f t="shared" si="26"/>
        <v>0</v>
      </c>
      <c r="N11" s="62">
        <f t="shared" si="26"/>
        <v>0</v>
      </c>
      <c r="O11" s="62">
        <f t="shared" si="26"/>
        <v>0</v>
      </c>
      <c r="P11" s="62">
        <f t="shared" si="26"/>
        <v>0</v>
      </c>
      <c r="Q11" s="62">
        <f t="shared" si="26"/>
        <v>0</v>
      </c>
      <c r="R11" s="62">
        <f t="shared" si="26"/>
        <v>0</v>
      </c>
      <c r="S11" s="62">
        <f t="shared" si="26"/>
        <v>0</v>
      </c>
      <c r="T11" s="62">
        <f t="shared" si="5"/>
        <v>0</v>
      </c>
      <c r="U11" s="62">
        <f t="shared" si="6"/>
        <v>0</v>
      </c>
      <c r="V11" s="47">
        <f t="shared" si="7"/>
        <v>0</v>
      </c>
      <c r="W11" s="47">
        <f t="shared" si="8"/>
        <v>0</v>
      </c>
    </row>
    <row r="12">
      <c r="A12" s="79" t="str">
        <f t="shared" ref="A12:B12" si="27">A9</f>
        <v>AFRFB</v>
      </c>
      <c r="B12" s="80" t="str">
        <f t="shared" si="27"/>
        <v>com BEP</v>
      </c>
      <c r="C12" s="79" t="str">
        <f t="shared" si="21"/>
        <v>Real</v>
      </c>
      <c r="D12" s="79" t="str">
        <f t="shared" si="24"/>
        <v>líquido</v>
      </c>
      <c r="E12" s="80" t="str">
        <f t="shared" si="22"/>
        <v>DIFERENÇA</v>
      </c>
      <c r="F12" s="80" t="str">
        <f t="shared" si="3"/>
        <v>AFRFB (com BEP)</v>
      </c>
      <c r="G12" s="80" t="str">
        <f t="shared" si="4"/>
        <v>Real (líquido) | DIFERENÇA</v>
      </c>
      <c r="H12" s="62">
        <f t="shared" ref="H12:S12" si="28">H9-H$8</f>
        <v>15316.82</v>
      </c>
      <c r="I12" s="62">
        <f t="shared" si="28"/>
        <v>32985.31</v>
      </c>
      <c r="J12" s="62">
        <f t="shared" si="28"/>
        <v>29388.04</v>
      </c>
      <c r="K12" s="62">
        <f t="shared" si="28"/>
        <v>25531.08</v>
      </c>
      <c r="L12" s="62">
        <f t="shared" si="28"/>
        <v>25574.51</v>
      </c>
      <c r="M12" s="62">
        <f t="shared" si="28"/>
        <v>25582.17</v>
      </c>
      <c r="N12" s="62">
        <f t="shared" si="28"/>
        <v>25582.17</v>
      </c>
      <c r="O12" s="62">
        <f t="shared" si="28"/>
        <v>25549.67</v>
      </c>
      <c r="P12" s="62">
        <f t="shared" si="28"/>
        <v>39672.7</v>
      </c>
      <c r="Q12" s="62">
        <f t="shared" si="28"/>
        <v>33558.26</v>
      </c>
      <c r="R12" s="62">
        <f t="shared" si="28"/>
        <v>43310.59</v>
      </c>
      <c r="S12" s="62">
        <f t="shared" si="28"/>
        <v>49002.13</v>
      </c>
      <c r="T12" s="62">
        <f t="shared" si="5"/>
        <v>103221.25</v>
      </c>
      <c r="U12" s="62">
        <f t="shared" si="6"/>
        <v>102288.52</v>
      </c>
      <c r="V12" s="47">
        <f t="shared" si="7"/>
        <v>165543.68</v>
      </c>
      <c r="W12" s="47">
        <f t="shared" si="8"/>
        <v>371053.45</v>
      </c>
    </row>
    <row r="13">
      <c r="A13" s="79" t="str">
        <f t="shared" ref="A13:B13" si="29">A10</f>
        <v>PFN</v>
      </c>
      <c r="B13" s="80" t="str">
        <f t="shared" si="29"/>
        <v>com HAS</v>
      </c>
      <c r="C13" s="79" t="str">
        <f t="shared" si="21"/>
        <v>Real</v>
      </c>
      <c r="D13" s="79" t="str">
        <f t="shared" si="24"/>
        <v>líquido</v>
      </c>
      <c r="E13" s="80" t="str">
        <f t="shared" si="22"/>
        <v>DIFERENÇA</v>
      </c>
      <c r="F13" s="80" t="str">
        <f t="shared" si="3"/>
        <v>PFN (com HAS)</v>
      </c>
      <c r="G13" s="80" t="str">
        <f t="shared" si="4"/>
        <v>Real (líquido) | DIFERENÇA</v>
      </c>
      <c r="H13" s="62">
        <f t="shared" ref="H13:S13" si="30">H10-H$8</f>
        <v>22335.62</v>
      </c>
      <c r="I13" s="62">
        <f t="shared" si="30"/>
        <v>38749.55</v>
      </c>
      <c r="J13" s="62">
        <f t="shared" si="30"/>
        <v>60305.13</v>
      </c>
      <c r="K13" s="62">
        <f t="shared" si="30"/>
        <v>62213.1</v>
      </c>
      <c r="L13" s="62">
        <f t="shared" si="30"/>
        <v>69918.83</v>
      </c>
      <c r="M13" s="62">
        <f t="shared" si="30"/>
        <v>82950.98</v>
      </c>
      <c r="N13" s="62">
        <f t="shared" si="30"/>
        <v>110946.57</v>
      </c>
      <c r="O13" s="62">
        <f t="shared" si="30"/>
        <v>113281.65</v>
      </c>
      <c r="P13" s="62">
        <f t="shared" si="30"/>
        <v>132049.61</v>
      </c>
      <c r="Q13" s="62">
        <f t="shared" si="30"/>
        <v>128798.56</v>
      </c>
      <c r="R13" s="62">
        <f t="shared" si="30"/>
        <v>108572.2</v>
      </c>
      <c r="S13" s="62">
        <f t="shared" si="30"/>
        <v>102215.98</v>
      </c>
      <c r="T13" s="62">
        <f t="shared" si="5"/>
        <v>183603.4</v>
      </c>
      <c r="U13" s="62">
        <f t="shared" si="6"/>
        <v>377098.03</v>
      </c>
      <c r="V13" s="47">
        <f t="shared" si="7"/>
        <v>471636.35</v>
      </c>
      <c r="W13" s="47">
        <f t="shared" si="8"/>
        <v>1032337.78</v>
      </c>
    </row>
    <row r="14">
      <c r="A14" s="80" t="str">
        <f t="shared" ref="A14:A25" si="31">A11</f>
        <v>AFFC</v>
      </c>
      <c r="B14" s="80"/>
      <c r="C14" s="80" t="s">
        <v>125</v>
      </c>
      <c r="D14" s="80" t="str">
        <f t="shared" ref="D14:D25" si="32">D2</f>
        <v>bruto</v>
      </c>
      <c r="E14" s="80" t="str">
        <f t="shared" si="22"/>
        <v>MONTANTE</v>
      </c>
      <c r="F14" s="80" t="str">
        <f t="shared" si="3"/>
        <v>AFFC</v>
      </c>
      <c r="G14" s="80" t="str">
        <f t="shared" si="4"/>
        <v>Ideal (bruto) | MONTANTE</v>
      </c>
      <c r="H14" s="62">
        <f>HLOOKUP($A14,'Página29'!$A:$E,H$1-2016+2+24,FALSE)</f>
        <v>292658.37</v>
      </c>
      <c r="I14" s="62">
        <f>HLOOKUP($A14,'Página29'!$A:$E,I$1-2016+2+24,FALSE)</f>
        <v>321894.09</v>
      </c>
      <c r="J14" s="62">
        <f>HLOOKUP($A14,'Página29'!$A:$E,J$1-2016+2+24,FALSE)</f>
        <v>343266.22</v>
      </c>
      <c r="K14" s="62">
        <f>HLOOKUP($A14,'Página29'!$A:$E,K$1-2016+2+24,FALSE)</f>
        <v>364919.81</v>
      </c>
      <c r="L14" s="62">
        <f>HLOOKUP($A14,'Página29'!$A:$E,L$1-2016+2+24,FALSE)</f>
        <v>364919.81</v>
      </c>
      <c r="M14" s="62">
        <f>HLOOKUP($A14,'Página29'!$A:$E,M$1-2016+2+24,FALSE)</f>
        <v>364919.81</v>
      </c>
      <c r="N14" s="62">
        <f>HLOOKUP($A14,'Página29'!$A:$E,N$1-2016+2+24,FALSE)</f>
        <v>364919.81</v>
      </c>
      <c r="O14" s="62">
        <f>HLOOKUP($A14,'Página29'!$A:$E,O$1-2016+2+24,FALSE)</f>
        <v>387909.51</v>
      </c>
      <c r="P14" s="62">
        <f>HLOOKUP($A14,'Página29'!$A:$E,P$1-2016+2+24,FALSE)</f>
        <v>397762.59</v>
      </c>
      <c r="Q14" s="62">
        <f>HLOOKUP($A14,'Página29'!$A:$E,Q$1-2016+2+24,FALSE)</f>
        <v>441136.97</v>
      </c>
      <c r="R14" s="62">
        <f>HLOOKUP($A14,'Página29'!$A:$E,R$1-2016+2+24,FALSE)</f>
        <v>478417.4</v>
      </c>
      <c r="S14" s="62">
        <f>HLOOKUP($A14,'Página29'!$A:$E,S$1-2016+2+24,FALSE)</f>
        <v>489241.1</v>
      </c>
      <c r="T14" s="62">
        <f t="shared" si="5"/>
        <v>1322738.49</v>
      </c>
      <c r="U14" s="62">
        <f t="shared" si="6"/>
        <v>1482668.94</v>
      </c>
      <c r="V14" s="47">
        <f t="shared" si="7"/>
        <v>1806558.06</v>
      </c>
      <c r="W14" s="47">
        <f t="shared" si="8"/>
        <v>4611965.49</v>
      </c>
    </row>
    <row r="15">
      <c r="A15" s="80" t="str">
        <f t="shared" si="31"/>
        <v>AFRFB</v>
      </c>
      <c r="B15" s="80" t="s">
        <v>126</v>
      </c>
      <c r="C15" s="79" t="str">
        <f t="shared" ref="C15:C25" si="33">C14</f>
        <v>Ideal</v>
      </c>
      <c r="D15" s="80" t="str">
        <f t="shared" si="32"/>
        <v>bruto</v>
      </c>
      <c r="E15" s="80" t="str">
        <f t="shared" si="22"/>
        <v>MONTANTE</v>
      </c>
      <c r="F15" s="80" t="str">
        <f t="shared" si="3"/>
        <v>AFRFB (sem BEP)</v>
      </c>
      <c r="G15" s="80" t="str">
        <f t="shared" si="4"/>
        <v>Ideal (bruto) | MONTANTE</v>
      </c>
      <c r="H15" s="62">
        <f>HLOOKUP($A15,'Página29'!$A:$E,H$1-2016+2+24,FALSE)</f>
        <v>308061.47</v>
      </c>
      <c r="I15" s="62">
        <f>HLOOKUP($A15,'Página29'!$A:$E,I$1-2016+2+24,FALSE)</f>
        <v>338835.92</v>
      </c>
      <c r="J15" s="62">
        <f>HLOOKUP($A15,'Página29'!$A:$E,J$1-2016+2+24,FALSE)</f>
        <v>361332.84</v>
      </c>
      <c r="K15" s="62">
        <f>HLOOKUP($A15,'Página29'!$A:$E,K$1-2016+2+24,FALSE)</f>
        <v>384126.13</v>
      </c>
      <c r="L15" s="62">
        <f>HLOOKUP($A15,'Página29'!$A:$E,L$1-2016+2+24,FALSE)</f>
        <v>384126.13</v>
      </c>
      <c r="M15" s="62">
        <f>HLOOKUP($A15,'Página29'!$A:$E,M$1-2016+2+24,FALSE)</f>
        <v>384126.13</v>
      </c>
      <c r="N15" s="62">
        <f>HLOOKUP($A15,'Página29'!$A:$E,N$1-2016+2+24,FALSE)</f>
        <v>384126.13</v>
      </c>
      <c r="O15" s="62">
        <f>HLOOKUP($A15,'Página29'!$A:$E,O$1-2016+2+24,FALSE)</f>
        <v>408325.77</v>
      </c>
      <c r="P15" s="62">
        <f>HLOOKUP($A15,'Página29'!$A:$E,P$1-2016+2+24,FALSE)</f>
        <v>418697.41</v>
      </c>
      <c r="Q15" s="62">
        <f>HLOOKUP($A15,'Página29'!$A:$E,Q$1-2016+2+24,FALSE)</f>
        <v>464354.67</v>
      </c>
      <c r="R15" s="62">
        <f>HLOOKUP($A15,'Página29'!$A:$E,R$1-2016+2+24,FALSE)</f>
        <v>503597.23</v>
      </c>
      <c r="S15" s="62">
        <f>HLOOKUP($A15,'Página29'!$A:$E,S$1-2016+2+24,FALSE)</f>
        <v>514990.6</v>
      </c>
      <c r="T15" s="62">
        <f t="shared" si="5"/>
        <v>1392356.36</v>
      </c>
      <c r="U15" s="62">
        <f t="shared" si="6"/>
        <v>1560704.16</v>
      </c>
      <c r="V15" s="47">
        <f t="shared" si="7"/>
        <v>1901639.91</v>
      </c>
      <c r="W15" s="47">
        <f t="shared" si="8"/>
        <v>4854700.43</v>
      </c>
    </row>
    <row r="16">
      <c r="A16" s="80" t="str">
        <f t="shared" si="31"/>
        <v>PFN</v>
      </c>
      <c r="B16" s="80" t="s">
        <v>127</v>
      </c>
      <c r="C16" s="79" t="str">
        <f t="shared" si="33"/>
        <v>Ideal</v>
      </c>
      <c r="D16" s="80" t="str">
        <f t="shared" si="32"/>
        <v>bruto</v>
      </c>
      <c r="E16" s="80" t="str">
        <f t="shared" si="22"/>
        <v>MONTANTE</v>
      </c>
      <c r="F16" s="80" t="str">
        <f t="shared" si="3"/>
        <v>PFN (sem HAS)</v>
      </c>
      <c r="G16" s="80" t="str">
        <f t="shared" si="4"/>
        <v>Ideal (bruto) | MONTANTE</v>
      </c>
      <c r="H16" s="62">
        <f>HLOOKUP($A16,'Página29'!$A:$E,H$1-2016+2+24,FALSE)</f>
        <v>308061.47</v>
      </c>
      <c r="I16" s="62">
        <f>HLOOKUP($A16,'Página29'!$A:$E,I$1-2016+2+24,FALSE)</f>
        <v>338835.92</v>
      </c>
      <c r="J16" s="62">
        <f>HLOOKUP($A16,'Página29'!$A:$E,J$1-2016+2+24,FALSE)</f>
        <v>361332.84</v>
      </c>
      <c r="K16" s="62">
        <f>HLOOKUP($A16,'Página29'!$A:$E,K$1-2016+2+24,FALSE)</f>
        <v>384126.13</v>
      </c>
      <c r="L16" s="62">
        <f>HLOOKUP($A16,'Página29'!$A:$E,L$1-2016+2+24,FALSE)</f>
        <v>384126.13</v>
      </c>
      <c r="M16" s="62">
        <f>HLOOKUP($A16,'Página29'!$A:$E,M$1-2016+2+24,FALSE)</f>
        <v>384126.13</v>
      </c>
      <c r="N16" s="62">
        <f>HLOOKUP($A16,'Página29'!$A:$E,N$1-2016+2+24,FALSE)</f>
        <v>384126.13</v>
      </c>
      <c r="O16" s="62">
        <f>HLOOKUP($A16,'Página29'!$A:$E,O$1-2016+2+24,FALSE)</f>
        <v>408325.77</v>
      </c>
      <c r="P16" s="62">
        <f>HLOOKUP($A16,'Página29'!$A:$E,P$1-2016+2+24,FALSE)</f>
        <v>418697.41</v>
      </c>
      <c r="Q16" s="62">
        <f>HLOOKUP($A16,'Página29'!$A:$E,Q$1-2016+2+24,FALSE)</f>
        <v>464354.67</v>
      </c>
      <c r="R16" s="62">
        <f>HLOOKUP($A16,'Página29'!$A:$E,R$1-2016+2+24,FALSE)</f>
        <v>503597.23</v>
      </c>
      <c r="S16" s="62">
        <f>HLOOKUP($A16,'Página29'!$A:$E,S$1-2016+2+24,FALSE)</f>
        <v>514990.6</v>
      </c>
      <c r="T16" s="62">
        <f t="shared" si="5"/>
        <v>1392356.36</v>
      </c>
      <c r="U16" s="62">
        <f t="shared" si="6"/>
        <v>1560704.16</v>
      </c>
      <c r="V16" s="47">
        <f t="shared" si="7"/>
        <v>1901639.91</v>
      </c>
      <c r="W16" s="47">
        <f t="shared" si="8"/>
        <v>4854700.43</v>
      </c>
    </row>
    <row r="17">
      <c r="A17" s="80" t="str">
        <f t="shared" si="31"/>
        <v>AFFC</v>
      </c>
      <c r="B17" s="80" t="str">
        <f t="shared" ref="B17:B25" si="35">B14</f>
        <v/>
      </c>
      <c r="C17" s="79" t="str">
        <f t="shared" si="33"/>
        <v>Ideal</v>
      </c>
      <c r="D17" s="80" t="str">
        <f t="shared" si="32"/>
        <v>bruto</v>
      </c>
      <c r="E17" s="80" t="str">
        <f t="shared" si="22"/>
        <v>DIFERENÇA</v>
      </c>
      <c r="F17" s="80" t="str">
        <f t="shared" si="3"/>
        <v>AFFC</v>
      </c>
      <c r="G17" s="80" t="str">
        <f t="shared" si="4"/>
        <v>Ideal (bruto) | DIFERENÇA</v>
      </c>
      <c r="H17" s="62">
        <f t="shared" ref="H17:S17" si="34">H14-H$14</f>
        <v>0</v>
      </c>
      <c r="I17" s="62">
        <f t="shared" si="34"/>
        <v>0</v>
      </c>
      <c r="J17" s="62">
        <f t="shared" si="34"/>
        <v>0</v>
      </c>
      <c r="K17" s="62">
        <f t="shared" si="34"/>
        <v>0</v>
      </c>
      <c r="L17" s="62">
        <f t="shared" si="34"/>
        <v>0</v>
      </c>
      <c r="M17" s="62">
        <f t="shared" si="34"/>
        <v>0</v>
      </c>
      <c r="N17" s="62">
        <f t="shared" si="34"/>
        <v>0</v>
      </c>
      <c r="O17" s="62">
        <f t="shared" si="34"/>
        <v>0</v>
      </c>
      <c r="P17" s="62">
        <f t="shared" si="34"/>
        <v>0</v>
      </c>
      <c r="Q17" s="62">
        <f t="shared" si="34"/>
        <v>0</v>
      </c>
      <c r="R17" s="62">
        <f t="shared" si="34"/>
        <v>0</v>
      </c>
      <c r="S17" s="62">
        <f t="shared" si="34"/>
        <v>0</v>
      </c>
      <c r="T17" s="62">
        <f t="shared" si="5"/>
        <v>0</v>
      </c>
      <c r="U17" s="62">
        <f t="shared" si="6"/>
        <v>0</v>
      </c>
      <c r="V17" s="47">
        <f t="shared" si="7"/>
        <v>0</v>
      </c>
      <c r="W17" s="47">
        <f t="shared" si="8"/>
        <v>0</v>
      </c>
    </row>
    <row r="18">
      <c r="A18" s="80" t="str">
        <f t="shared" si="31"/>
        <v>AFRFB</v>
      </c>
      <c r="B18" s="80" t="str">
        <f t="shared" si="35"/>
        <v>sem BEP</v>
      </c>
      <c r="C18" s="79" t="str">
        <f t="shared" si="33"/>
        <v>Ideal</v>
      </c>
      <c r="D18" s="80" t="str">
        <f t="shared" si="32"/>
        <v>bruto</v>
      </c>
      <c r="E18" s="80" t="str">
        <f t="shared" si="22"/>
        <v>DIFERENÇA</v>
      </c>
      <c r="F18" s="80" t="str">
        <f t="shared" si="3"/>
        <v>AFRFB (sem BEP)</v>
      </c>
      <c r="G18" s="80" t="str">
        <f t="shared" si="4"/>
        <v>Ideal (bruto) | DIFERENÇA</v>
      </c>
      <c r="H18" s="62">
        <f t="shared" ref="H18:S18" si="36">H15-H$14</f>
        <v>15403.1</v>
      </c>
      <c r="I18" s="62">
        <f t="shared" si="36"/>
        <v>16941.83</v>
      </c>
      <c r="J18" s="62">
        <f t="shared" si="36"/>
        <v>18066.62</v>
      </c>
      <c r="K18" s="62">
        <f t="shared" si="36"/>
        <v>19206.32</v>
      </c>
      <c r="L18" s="62">
        <f t="shared" si="36"/>
        <v>19206.32</v>
      </c>
      <c r="M18" s="62">
        <f t="shared" si="36"/>
        <v>19206.32</v>
      </c>
      <c r="N18" s="62">
        <f t="shared" si="36"/>
        <v>19206.32</v>
      </c>
      <c r="O18" s="62">
        <f t="shared" si="36"/>
        <v>20416.26</v>
      </c>
      <c r="P18" s="62">
        <f t="shared" si="36"/>
        <v>20934.82</v>
      </c>
      <c r="Q18" s="62">
        <f t="shared" si="36"/>
        <v>23217.7</v>
      </c>
      <c r="R18" s="62">
        <f t="shared" si="36"/>
        <v>25179.83</v>
      </c>
      <c r="S18" s="62">
        <f t="shared" si="36"/>
        <v>25749.5</v>
      </c>
      <c r="T18" s="62">
        <f t="shared" si="5"/>
        <v>69617.87</v>
      </c>
      <c r="U18" s="62">
        <f t="shared" si="6"/>
        <v>78035.22</v>
      </c>
      <c r="V18" s="47">
        <f t="shared" si="7"/>
        <v>95081.85</v>
      </c>
      <c r="W18" s="47">
        <f t="shared" si="8"/>
        <v>242734.94</v>
      </c>
    </row>
    <row r="19">
      <c r="A19" s="80" t="str">
        <f t="shared" si="31"/>
        <v>PFN</v>
      </c>
      <c r="B19" s="80" t="str">
        <f t="shared" si="35"/>
        <v>sem HAS</v>
      </c>
      <c r="C19" s="79" t="str">
        <f t="shared" si="33"/>
        <v>Ideal</v>
      </c>
      <c r="D19" s="80" t="str">
        <f t="shared" si="32"/>
        <v>bruto</v>
      </c>
      <c r="E19" s="80" t="str">
        <f t="shared" si="22"/>
        <v>DIFERENÇA</v>
      </c>
      <c r="F19" s="80" t="str">
        <f t="shared" si="3"/>
        <v>PFN (sem HAS)</v>
      </c>
      <c r="G19" s="80" t="str">
        <f t="shared" si="4"/>
        <v>Ideal (bruto) | DIFERENÇA</v>
      </c>
      <c r="H19" s="62">
        <f t="shared" ref="H19:S19" si="37">H16-H$14</f>
        <v>15403.1</v>
      </c>
      <c r="I19" s="62">
        <f t="shared" si="37"/>
        <v>16941.83</v>
      </c>
      <c r="J19" s="62">
        <f t="shared" si="37"/>
        <v>18066.62</v>
      </c>
      <c r="K19" s="62">
        <f t="shared" si="37"/>
        <v>19206.32</v>
      </c>
      <c r="L19" s="62">
        <f t="shared" si="37"/>
        <v>19206.32</v>
      </c>
      <c r="M19" s="62">
        <f t="shared" si="37"/>
        <v>19206.32</v>
      </c>
      <c r="N19" s="62">
        <f t="shared" si="37"/>
        <v>19206.32</v>
      </c>
      <c r="O19" s="62">
        <f t="shared" si="37"/>
        <v>20416.26</v>
      </c>
      <c r="P19" s="62">
        <f t="shared" si="37"/>
        <v>20934.82</v>
      </c>
      <c r="Q19" s="62">
        <f t="shared" si="37"/>
        <v>23217.7</v>
      </c>
      <c r="R19" s="62">
        <f t="shared" si="37"/>
        <v>25179.83</v>
      </c>
      <c r="S19" s="62">
        <f t="shared" si="37"/>
        <v>25749.5</v>
      </c>
      <c r="T19" s="62">
        <f t="shared" si="5"/>
        <v>69617.87</v>
      </c>
      <c r="U19" s="62">
        <f t="shared" si="6"/>
        <v>78035.22</v>
      </c>
      <c r="V19" s="47">
        <f t="shared" si="7"/>
        <v>95081.85</v>
      </c>
      <c r="W19" s="47">
        <f t="shared" si="8"/>
        <v>242734.94</v>
      </c>
    </row>
    <row r="20">
      <c r="A20" s="80" t="str">
        <f t="shared" si="31"/>
        <v>AFFC</v>
      </c>
      <c r="B20" s="80" t="str">
        <f t="shared" si="35"/>
        <v/>
      </c>
      <c r="C20" s="79" t="str">
        <f t="shared" si="33"/>
        <v>Ideal</v>
      </c>
      <c r="D20" s="80" t="str">
        <f t="shared" si="32"/>
        <v>líquido</v>
      </c>
      <c r="E20" s="80" t="str">
        <f t="shared" si="22"/>
        <v>MONTANTE</v>
      </c>
      <c r="F20" s="80" t="str">
        <f t="shared" si="3"/>
        <v>AFFC</v>
      </c>
      <c r="G20" s="80" t="str">
        <f t="shared" si="4"/>
        <v>Ideal (líquido) | MONTANTE</v>
      </c>
      <c r="H20" s="62">
        <f>HLOOKUP($A20,'Página29'!$A:$E,H$1-2016+2+36,FALSE)</f>
        <v>200429.01</v>
      </c>
      <c r="I20" s="62">
        <f>HLOOKUP($A20,'Página29'!$A:$E,I$1-2016+2+36,FALSE)</f>
        <v>219293.33</v>
      </c>
      <c r="J20" s="62">
        <f>HLOOKUP($A20,'Página29'!$A:$E,J$1-2016+2+36,FALSE)</f>
        <v>233083.65</v>
      </c>
      <c r="K20" s="62">
        <f>HLOOKUP($A20,'Página29'!$A:$E,K$1-2016+2+36,FALSE)</f>
        <v>247055.7</v>
      </c>
      <c r="L20" s="62">
        <f>HLOOKUP($A20,'Página29'!$A:$E,L$1-2016+2+36,FALSE)</f>
        <v>236484.15</v>
      </c>
      <c r="M20" s="62">
        <f>HLOOKUP($A20,'Página29'!$A:$E,M$1-2016+2+36,FALSE)</f>
        <v>235093.72</v>
      </c>
      <c r="N20" s="62">
        <f>HLOOKUP($A20,'Página29'!$A:$E,N$1-2016+2+36,FALSE)</f>
        <v>236028.76</v>
      </c>
      <c r="O20" s="62">
        <f>HLOOKUP($A20,'Página29'!$A:$E,O$1-2016+2+36,FALSE)</f>
        <v>250280.61</v>
      </c>
      <c r="P20" s="62">
        <f>HLOOKUP($A20,'Página29'!$A:$E,P$1-2016+2+36,FALSE)</f>
        <v>256671.47</v>
      </c>
      <c r="Q20" s="62">
        <f>HLOOKUP($A20,'Página29'!$A:$E,Q$1-2016+2+36,FALSE)</f>
        <v>282154.02</v>
      </c>
      <c r="R20" s="62">
        <f>HLOOKUP($A20,'Página29'!$A:$E,R$1-2016+2+36,FALSE)</f>
        <v>304046.96</v>
      </c>
      <c r="S20" s="62">
        <f>HLOOKUP($A20,'Página29'!$A:$E,S$1-2016+2+36,FALSE)</f>
        <v>310403.18</v>
      </c>
      <c r="T20" s="62">
        <f t="shared" si="5"/>
        <v>899861.69</v>
      </c>
      <c r="U20" s="62">
        <f t="shared" si="6"/>
        <v>957887.24</v>
      </c>
      <c r="V20" s="47">
        <f t="shared" si="7"/>
        <v>1153275.63</v>
      </c>
      <c r="W20" s="47">
        <f t="shared" si="8"/>
        <v>3011024.56</v>
      </c>
    </row>
    <row r="21">
      <c r="A21" s="80" t="str">
        <f t="shared" si="31"/>
        <v>AFRFB</v>
      </c>
      <c r="B21" s="80" t="str">
        <f t="shared" si="35"/>
        <v>sem BEP</v>
      </c>
      <c r="C21" s="79" t="str">
        <f t="shared" si="33"/>
        <v>Ideal</v>
      </c>
      <c r="D21" s="80" t="str">
        <f t="shared" si="32"/>
        <v>líquido</v>
      </c>
      <c r="E21" s="80" t="str">
        <f t="shared" si="22"/>
        <v>MONTANTE</v>
      </c>
      <c r="F21" s="80" t="str">
        <f t="shared" si="3"/>
        <v>AFRFB (sem BEP)</v>
      </c>
      <c r="G21" s="80" t="str">
        <f t="shared" si="4"/>
        <v>Ideal (líquido) | MONTANTE</v>
      </c>
      <c r="H21" s="62">
        <f>HLOOKUP($A21,'Página29'!$A:$E,H$1-2016+2+36,FALSE)</f>
        <v>210367.83</v>
      </c>
      <c r="I21" s="62">
        <f>HLOOKUP($A21,'Página29'!$A:$E,I$1-2016+2+36,FALSE)</f>
        <v>230225.03</v>
      </c>
      <c r="J21" s="62">
        <f>HLOOKUP($A21,'Página29'!$A:$E,J$1-2016+2+36,FALSE)</f>
        <v>244741.21</v>
      </c>
      <c r="K21" s="62">
        <f>HLOOKUP($A21,'Página29'!$A:$E,K$1-2016+2+36,FALSE)</f>
        <v>259448.58</v>
      </c>
      <c r="L21" s="62">
        <f>HLOOKUP($A21,'Página29'!$A:$E,L$1-2016+2+36,FALSE)</f>
        <v>247930.18</v>
      </c>
      <c r="M21" s="62">
        <f>HLOOKUP($A21,'Página29'!$A:$E,M$1-2016+2+36,FALSE)</f>
        <v>246372.63</v>
      </c>
      <c r="N21" s="62">
        <f>HLOOKUP($A21,'Página29'!$A:$E,N$1-2016+2+36,FALSE)</f>
        <v>247307.56</v>
      </c>
      <c r="O21" s="62">
        <f>HLOOKUP($A21,'Página29'!$A:$E,O$1-2016+2+36,FALSE)</f>
        <v>262270.12</v>
      </c>
      <c r="P21" s="62">
        <f>HLOOKUP($A21,'Página29'!$A:$E,P$1-2016+2+36,FALSE)</f>
        <v>268965.43</v>
      </c>
      <c r="Q21" s="62">
        <f>HLOOKUP($A21,'Página29'!$A:$E,Q$1-2016+2+36,FALSE)</f>
        <v>295788.73</v>
      </c>
      <c r="R21" s="62">
        <f>HLOOKUP($A21,'Página29'!$A:$E,R$1-2016+2+36,FALSE)</f>
        <v>318833.91</v>
      </c>
      <c r="S21" s="62">
        <f>HLOOKUP($A21,'Página29'!$A:$E,S$1-2016+2+36,FALSE)</f>
        <v>325524.66</v>
      </c>
      <c r="T21" s="62">
        <f t="shared" si="5"/>
        <v>944782.65</v>
      </c>
      <c r="U21" s="62">
        <f t="shared" si="6"/>
        <v>1003880.49</v>
      </c>
      <c r="V21" s="47">
        <f t="shared" si="7"/>
        <v>1209112.73</v>
      </c>
      <c r="W21" s="47">
        <f t="shared" si="8"/>
        <v>3157775.87</v>
      </c>
    </row>
    <row r="22">
      <c r="A22" s="80" t="str">
        <f t="shared" si="31"/>
        <v>PFN</v>
      </c>
      <c r="B22" s="80" t="str">
        <f t="shared" si="35"/>
        <v>sem HAS</v>
      </c>
      <c r="C22" s="79" t="str">
        <f t="shared" si="33"/>
        <v>Ideal</v>
      </c>
      <c r="D22" s="80" t="str">
        <f t="shared" si="32"/>
        <v>líquido</v>
      </c>
      <c r="E22" s="80" t="str">
        <f t="shared" si="22"/>
        <v>MONTANTE</v>
      </c>
      <c r="F22" s="80" t="str">
        <f t="shared" si="3"/>
        <v>PFN (sem HAS)</v>
      </c>
      <c r="G22" s="80" t="str">
        <f t="shared" si="4"/>
        <v>Ideal (líquido) | MONTANTE</v>
      </c>
      <c r="H22" s="62">
        <f>HLOOKUP($A22,'Página29'!$A:$E,H$1-2016+2+36,FALSE)</f>
        <v>210367.83</v>
      </c>
      <c r="I22" s="62">
        <f>HLOOKUP($A22,'Página29'!$A:$E,I$1-2016+2+36,FALSE)</f>
        <v>230225.03</v>
      </c>
      <c r="J22" s="62">
        <f>HLOOKUP($A22,'Página29'!$A:$E,J$1-2016+2+36,FALSE)</f>
        <v>244741.21</v>
      </c>
      <c r="K22" s="62">
        <f>HLOOKUP($A22,'Página29'!$A:$E,K$1-2016+2+36,FALSE)</f>
        <v>259448.58</v>
      </c>
      <c r="L22" s="62">
        <f>HLOOKUP($A22,'Página29'!$A:$E,L$1-2016+2+36,FALSE)</f>
        <v>247930.18</v>
      </c>
      <c r="M22" s="62">
        <f>HLOOKUP($A22,'Página29'!$A:$E,M$1-2016+2+36,FALSE)</f>
        <v>246372.63</v>
      </c>
      <c r="N22" s="62">
        <f>HLOOKUP($A22,'Página29'!$A:$E,N$1-2016+2+36,FALSE)</f>
        <v>247307.56</v>
      </c>
      <c r="O22" s="62">
        <f>HLOOKUP($A22,'Página29'!$A:$E,O$1-2016+2+36,FALSE)</f>
        <v>262270.12</v>
      </c>
      <c r="P22" s="62">
        <f>HLOOKUP($A22,'Página29'!$A:$E,P$1-2016+2+36,FALSE)</f>
        <v>268965.43</v>
      </c>
      <c r="Q22" s="62">
        <f>HLOOKUP($A22,'Página29'!$A:$E,Q$1-2016+2+36,FALSE)</f>
        <v>295788.73</v>
      </c>
      <c r="R22" s="62">
        <f>HLOOKUP($A22,'Página29'!$A:$E,R$1-2016+2+36,FALSE)</f>
        <v>318833.91</v>
      </c>
      <c r="S22" s="62">
        <f>HLOOKUP($A22,'Página29'!$A:$E,S$1-2016+2+36,FALSE)</f>
        <v>325524.66</v>
      </c>
      <c r="T22" s="62">
        <f t="shared" si="5"/>
        <v>944782.65</v>
      </c>
      <c r="U22" s="62">
        <f t="shared" si="6"/>
        <v>1003880.49</v>
      </c>
      <c r="V22" s="47">
        <f t="shared" si="7"/>
        <v>1209112.73</v>
      </c>
      <c r="W22" s="47">
        <f t="shared" si="8"/>
        <v>3157775.87</v>
      </c>
    </row>
    <row r="23">
      <c r="A23" s="80" t="str">
        <f t="shared" si="31"/>
        <v>AFFC</v>
      </c>
      <c r="B23" s="80" t="str">
        <f t="shared" si="35"/>
        <v/>
      </c>
      <c r="C23" s="79" t="str">
        <f t="shared" si="33"/>
        <v>Ideal</v>
      </c>
      <c r="D23" s="80" t="str">
        <f t="shared" si="32"/>
        <v>líquido</v>
      </c>
      <c r="E23" s="80" t="str">
        <f t="shared" si="22"/>
        <v>DIFERENÇA</v>
      </c>
      <c r="F23" s="80" t="str">
        <f t="shared" si="3"/>
        <v>AFFC</v>
      </c>
      <c r="G23" s="80" t="str">
        <f t="shared" si="4"/>
        <v>Ideal (líquido) | DIFERENÇA</v>
      </c>
      <c r="H23" s="62">
        <f t="shared" ref="H23:S23" si="38">H20-H$20</f>
        <v>0</v>
      </c>
      <c r="I23" s="62">
        <f t="shared" si="38"/>
        <v>0</v>
      </c>
      <c r="J23" s="62">
        <f t="shared" si="38"/>
        <v>0</v>
      </c>
      <c r="K23" s="62">
        <f t="shared" si="38"/>
        <v>0</v>
      </c>
      <c r="L23" s="62">
        <f t="shared" si="38"/>
        <v>0</v>
      </c>
      <c r="M23" s="62">
        <f t="shared" si="38"/>
        <v>0</v>
      </c>
      <c r="N23" s="62">
        <f t="shared" si="38"/>
        <v>0</v>
      </c>
      <c r="O23" s="62">
        <f t="shared" si="38"/>
        <v>0</v>
      </c>
      <c r="P23" s="62">
        <f t="shared" si="38"/>
        <v>0</v>
      </c>
      <c r="Q23" s="62">
        <f t="shared" si="38"/>
        <v>0</v>
      </c>
      <c r="R23" s="62">
        <f t="shared" si="38"/>
        <v>0</v>
      </c>
      <c r="S23" s="62">
        <f t="shared" si="38"/>
        <v>0</v>
      </c>
      <c r="T23" s="62">
        <f t="shared" si="5"/>
        <v>0</v>
      </c>
      <c r="U23" s="62">
        <f t="shared" si="6"/>
        <v>0</v>
      </c>
      <c r="V23" s="47">
        <f t="shared" si="7"/>
        <v>0</v>
      </c>
      <c r="W23" s="47">
        <f t="shared" si="8"/>
        <v>0</v>
      </c>
    </row>
    <row r="24">
      <c r="A24" s="80" t="str">
        <f t="shared" si="31"/>
        <v>AFRFB</v>
      </c>
      <c r="B24" s="80" t="str">
        <f t="shared" si="35"/>
        <v>sem BEP</v>
      </c>
      <c r="C24" s="79" t="str">
        <f t="shared" si="33"/>
        <v>Ideal</v>
      </c>
      <c r="D24" s="80" t="str">
        <f t="shared" si="32"/>
        <v>líquido</v>
      </c>
      <c r="E24" s="80" t="str">
        <f t="shared" si="22"/>
        <v>DIFERENÇA</v>
      </c>
      <c r="F24" s="80" t="str">
        <f t="shared" si="3"/>
        <v>AFRFB (sem BEP)</v>
      </c>
      <c r="G24" s="80" t="str">
        <f t="shared" si="4"/>
        <v>Ideal (líquido) | DIFERENÇA</v>
      </c>
      <c r="H24" s="62">
        <f t="shared" ref="H24:S24" si="39">H21-H$20</f>
        <v>9938.82</v>
      </c>
      <c r="I24" s="62">
        <f t="shared" si="39"/>
        <v>10931.7</v>
      </c>
      <c r="J24" s="62">
        <f t="shared" si="39"/>
        <v>11657.56</v>
      </c>
      <c r="K24" s="62">
        <f t="shared" si="39"/>
        <v>12392.88</v>
      </c>
      <c r="L24" s="62">
        <f t="shared" si="39"/>
        <v>11446.03</v>
      </c>
      <c r="M24" s="62">
        <f t="shared" si="39"/>
        <v>11278.91</v>
      </c>
      <c r="N24" s="62">
        <f t="shared" si="39"/>
        <v>11278.8</v>
      </c>
      <c r="O24" s="62">
        <f t="shared" si="39"/>
        <v>11989.51</v>
      </c>
      <c r="P24" s="62">
        <f t="shared" si="39"/>
        <v>12293.96</v>
      </c>
      <c r="Q24" s="62">
        <f t="shared" si="39"/>
        <v>13634.71</v>
      </c>
      <c r="R24" s="62">
        <f t="shared" si="39"/>
        <v>14786.95</v>
      </c>
      <c r="S24" s="62">
        <f t="shared" si="39"/>
        <v>15121.48</v>
      </c>
      <c r="T24" s="62">
        <f t="shared" si="5"/>
        <v>44920.96</v>
      </c>
      <c r="U24" s="62">
        <f t="shared" si="6"/>
        <v>45993.25</v>
      </c>
      <c r="V24" s="47">
        <f t="shared" si="7"/>
        <v>55837.1</v>
      </c>
      <c r="W24" s="47">
        <f t="shared" si="8"/>
        <v>146751.31</v>
      </c>
    </row>
    <row r="25">
      <c r="A25" s="80" t="str">
        <f t="shared" si="31"/>
        <v>PFN</v>
      </c>
      <c r="B25" s="80" t="str">
        <f t="shared" si="35"/>
        <v>sem HAS</v>
      </c>
      <c r="C25" s="79" t="str">
        <f t="shared" si="33"/>
        <v>Ideal</v>
      </c>
      <c r="D25" s="80" t="str">
        <f t="shared" si="32"/>
        <v>líquido</v>
      </c>
      <c r="E25" s="80" t="str">
        <f t="shared" si="22"/>
        <v>DIFERENÇA</v>
      </c>
      <c r="F25" s="80" t="str">
        <f t="shared" si="3"/>
        <v>PFN (sem HAS)</v>
      </c>
      <c r="G25" s="80" t="str">
        <f t="shared" si="4"/>
        <v>Ideal (líquido) | DIFERENÇA</v>
      </c>
      <c r="H25" s="62">
        <f t="shared" ref="H25:S25" si="40">H22-H$20</f>
        <v>9938.82</v>
      </c>
      <c r="I25" s="62">
        <f t="shared" si="40"/>
        <v>10931.7</v>
      </c>
      <c r="J25" s="62">
        <f t="shared" si="40"/>
        <v>11657.56</v>
      </c>
      <c r="K25" s="62">
        <f t="shared" si="40"/>
        <v>12392.88</v>
      </c>
      <c r="L25" s="62">
        <f t="shared" si="40"/>
        <v>11446.03</v>
      </c>
      <c r="M25" s="62">
        <f t="shared" si="40"/>
        <v>11278.91</v>
      </c>
      <c r="N25" s="62">
        <f t="shared" si="40"/>
        <v>11278.8</v>
      </c>
      <c r="O25" s="62">
        <f t="shared" si="40"/>
        <v>11989.51</v>
      </c>
      <c r="P25" s="62">
        <f t="shared" si="40"/>
        <v>12293.96</v>
      </c>
      <c r="Q25" s="62">
        <f t="shared" si="40"/>
        <v>13634.71</v>
      </c>
      <c r="R25" s="62">
        <f t="shared" si="40"/>
        <v>14786.95</v>
      </c>
      <c r="S25" s="62">
        <f t="shared" si="40"/>
        <v>15121.48</v>
      </c>
      <c r="T25" s="62">
        <f t="shared" si="5"/>
        <v>44920.96</v>
      </c>
      <c r="U25" s="62">
        <f t="shared" si="6"/>
        <v>45993.25</v>
      </c>
      <c r="V25" s="47">
        <f t="shared" si="7"/>
        <v>55837.1</v>
      </c>
      <c r="W25" s="47">
        <f t="shared" si="8"/>
        <v>146751.31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9.13"/>
    <col customWidth="1" min="2" max="2" width="6.13"/>
    <col customWidth="1" min="3" max="3" width="8.75"/>
    <col customWidth="1" min="4" max="4" width="44.5"/>
    <col customWidth="1" min="5" max="8" width="11.38"/>
  </cols>
  <sheetData>
    <row r="1">
      <c r="A1" s="85"/>
      <c r="B1" s="85"/>
      <c r="C1" s="85"/>
      <c r="D1" s="86" t="s">
        <v>155</v>
      </c>
      <c r="E1" s="87" t="s">
        <v>156</v>
      </c>
      <c r="F1" s="88" t="s">
        <v>157</v>
      </c>
      <c r="G1" s="89" t="s">
        <v>158</v>
      </c>
      <c r="H1" s="90" t="s">
        <v>159</v>
      </c>
    </row>
    <row r="2">
      <c r="A2" s="91" t="s">
        <v>5</v>
      </c>
      <c r="B2" s="91" t="s">
        <v>100</v>
      </c>
      <c r="C2" s="91" t="s">
        <v>104</v>
      </c>
      <c r="D2" s="92" t="s">
        <v>160</v>
      </c>
      <c r="E2" s="93">
        <f t="shared" ref="E2:E52" si="1">SUM(F2:H2)</f>
        <v>1986</v>
      </c>
      <c r="F2" s="94">
        <v>807.0</v>
      </c>
      <c r="G2" s="94">
        <v>814.0</v>
      </c>
      <c r="H2" s="95">
        <v>365.0</v>
      </c>
    </row>
    <row r="3">
      <c r="A3" s="91" t="s">
        <v>5</v>
      </c>
      <c r="B3" s="91" t="s">
        <v>161</v>
      </c>
      <c r="C3" s="91" t="s">
        <v>104</v>
      </c>
      <c r="D3" s="96" t="s">
        <v>160</v>
      </c>
      <c r="E3" s="97">
        <f t="shared" si="1"/>
        <v>2326</v>
      </c>
      <c r="F3" s="98">
        <v>1812.0</v>
      </c>
      <c r="G3" s="98">
        <v>448.0</v>
      </c>
      <c r="H3" s="99">
        <v>66.0</v>
      </c>
    </row>
    <row r="4">
      <c r="A4" s="91" t="s">
        <v>5</v>
      </c>
      <c r="B4" s="91" t="s">
        <v>100</v>
      </c>
      <c r="C4" s="91" t="s">
        <v>162</v>
      </c>
      <c r="D4" s="100" t="s">
        <v>163</v>
      </c>
      <c r="E4" s="101">
        <f t="shared" si="1"/>
        <v>907</v>
      </c>
      <c r="F4" s="102">
        <v>71.0</v>
      </c>
      <c r="G4" s="102">
        <v>562.0</v>
      </c>
      <c r="H4" s="103">
        <v>274.0</v>
      </c>
    </row>
    <row r="5">
      <c r="A5" s="91" t="s">
        <v>5</v>
      </c>
      <c r="B5" s="91" t="s">
        <v>161</v>
      </c>
      <c r="C5" s="91" t="s">
        <v>162</v>
      </c>
      <c r="D5" s="96" t="s">
        <v>163</v>
      </c>
      <c r="E5" s="97">
        <f t="shared" si="1"/>
        <v>895</v>
      </c>
      <c r="F5" s="98">
        <v>322.0</v>
      </c>
      <c r="G5" s="98">
        <v>526.0</v>
      </c>
      <c r="H5" s="99">
        <v>47.0</v>
      </c>
    </row>
    <row r="6">
      <c r="A6" s="91" t="s">
        <v>164</v>
      </c>
      <c r="B6" s="91" t="s">
        <v>165</v>
      </c>
      <c r="C6" s="91" t="s">
        <v>166</v>
      </c>
      <c r="D6" s="104" t="s">
        <v>167</v>
      </c>
      <c r="E6" s="101">
        <f t="shared" si="1"/>
        <v>949</v>
      </c>
      <c r="F6" s="102">
        <v>502.0</v>
      </c>
      <c r="G6" s="102">
        <v>375.0</v>
      </c>
      <c r="H6" s="103">
        <v>72.0</v>
      </c>
    </row>
    <row r="7">
      <c r="A7" s="91" t="s">
        <v>164</v>
      </c>
      <c r="B7" s="91" t="s">
        <v>165</v>
      </c>
      <c r="C7" s="91" t="s">
        <v>168</v>
      </c>
      <c r="D7" s="105" t="s">
        <v>169</v>
      </c>
      <c r="E7" s="97">
        <f t="shared" si="1"/>
        <v>269</v>
      </c>
      <c r="F7" s="98">
        <v>40.0</v>
      </c>
      <c r="G7" s="98">
        <v>201.0</v>
      </c>
      <c r="H7" s="99">
        <v>28.0</v>
      </c>
    </row>
    <row r="8">
      <c r="A8" s="91" t="s">
        <v>170</v>
      </c>
      <c r="B8" s="91" t="s">
        <v>171</v>
      </c>
      <c r="C8" s="91" t="s">
        <v>172</v>
      </c>
      <c r="D8" s="105" t="s">
        <v>173</v>
      </c>
      <c r="E8" s="97">
        <f t="shared" si="1"/>
        <v>1046</v>
      </c>
      <c r="F8" s="98">
        <v>916.0</v>
      </c>
      <c r="G8" s="98">
        <v>114.0</v>
      </c>
      <c r="H8" s="99">
        <v>16.0</v>
      </c>
    </row>
    <row r="9">
      <c r="A9" s="91" t="s">
        <v>174</v>
      </c>
      <c r="B9" s="91" t="s">
        <v>175</v>
      </c>
      <c r="C9" s="91" t="s">
        <v>176</v>
      </c>
      <c r="D9" s="105" t="s">
        <v>177</v>
      </c>
      <c r="E9" s="97">
        <f t="shared" si="1"/>
        <v>433</v>
      </c>
      <c r="F9" s="98">
        <v>389.0</v>
      </c>
      <c r="G9" s="98">
        <v>34.0</v>
      </c>
      <c r="H9" s="99">
        <v>10.0</v>
      </c>
    </row>
    <row r="10">
      <c r="A10" s="91" t="s">
        <v>178</v>
      </c>
      <c r="B10" s="91" t="s">
        <v>179</v>
      </c>
      <c r="C10" s="91" t="s">
        <v>180</v>
      </c>
      <c r="D10" s="96" t="s">
        <v>181</v>
      </c>
      <c r="E10" s="97">
        <f t="shared" si="1"/>
        <v>532</v>
      </c>
      <c r="F10" s="98">
        <v>187.0</v>
      </c>
      <c r="G10" s="98">
        <v>278.0</v>
      </c>
      <c r="H10" s="99">
        <v>67.0</v>
      </c>
    </row>
    <row r="11">
      <c r="A11" s="91" t="s">
        <v>182</v>
      </c>
      <c r="B11" s="91" t="s">
        <v>183</v>
      </c>
      <c r="C11" s="91" t="s">
        <v>184</v>
      </c>
      <c r="D11" s="104" t="s">
        <v>185</v>
      </c>
      <c r="E11" s="101">
        <f t="shared" si="1"/>
        <v>434</v>
      </c>
      <c r="F11" s="102">
        <v>268.0</v>
      </c>
      <c r="G11" s="102">
        <v>130.0</v>
      </c>
      <c r="H11" s="103">
        <v>36.0</v>
      </c>
    </row>
    <row r="12">
      <c r="A12" s="91" t="s">
        <v>182</v>
      </c>
      <c r="B12" s="91" t="s">
        <v>183</v>
      </c>
      <c r="C12" s="91" t="s">
        <v>186</v>
      </c>
      <c r="D12" s="105" t="s">
        <v>187</v>
      </c>
      <c r="E12" s="97">
        <f t="shared" si="1"/>
        <v>181</v>
      </c>
      <c r="F12" s="98">
        <v>56.0</v>
      </c>
      <c r="G12" s="98">
        <v>94.0</v>
      </c>
      <c r="H12" s="99">
        <v>31.0</v>
      </c>
    </row>
    <row r="13">
      <c r="A13" s="91" t="s">
        <v>188</v>
      </c>
      <c r="B13" s="91" t="s">
        <v>189</v>
      </c>
      <c r="C13" s="91" t="s">
        <v>190</v>
      </c>
      <c r="D13" s="104" t="s">
        <v>191</v>
      </c>
      <c r="E13" s="101">
        <f t="shared" si="1"/>
        <v>321</v>
      </c>
      <c r="F13" s="102">
        <v>203.0</v>
      </c>
      <c r="G13" s="102">
        <v>96.0</v>
      </c>
      <c r="H13" s="103">
        <v>22.0</v>
      </c>
    </row>
    <row r="14">
      <c r="A14" s="91" t="s">
        <v>188</v>
      </c>
      <c r="B14" s="91" t="s">
        <v>189</v>
      </c>
      <c r="C14" s="91" t="s">
        <v>192</v>
      </c>
      <c r="D14" s="104" t="s">
        <v>193</v>
      </c>
      <c r="E14" s="101">
        <f t="shared" si="1"/>
        <v>152</v>
      </c>
      <c r="F14" s="102">
        <v>92.0</v>
      </c>
      <c r="G14" s="102">
        <v>46.0</v>
      </c>
      <c r="H14" s="103">
        <v>14.0</v>
      </c>
    </row>
    <row r="15">
      <c r="A15" s="91" t="s">
        <v>188</v>
      </c>
      <c r="B15" s="91" t="s">
        <v>189</v>
      </c>
      <c r="C15" s="91" t="s">
        <v>194</v>
      </c>
      <c r="D15" s="105" t="s">
        <v>195</v>
      </c>
      <c r="E15" s="97">
        <f t="shared" si="1"/>
        <v>189</v>
      </c>
      <c r="F15" s="98">
        <v>97.0</v>
      </c>
      <c r="G15" s="98">
        <v>84.0</v>
      </c>
      <c r="H15" s="99">
        <v>8.0</v>
      </c>
    </row>
    <row r="16">
      <c r="A16" s="91" t="s">
        <v>196</v>
      </c>
      <c r="B16" s="91" t="s">
        <v>197</v>
      </c>
      <c r="C16" s="91" t="s">
        <v>198</v>
      </c>
      <c r="D16" s="104" t="s">
        <v>199</v>
      </c>
      <c r="E16" s="106">
        <f t="shared" si="1"/>
        <v>8185</v>
      </c>
      <c r="F16" s="107">
        <v>2829.0</v>
      </c>
      <c r="G16" s="107">
        <v>4714.0</v>
      </c>
      <c r="H16" s="108">
        <v>642.0</v>
      </c>
    </row>
    <row r="17">
      <c r="A17" s="91" t="s">
        <v>196</v>
      </c>
      <c r="B17" s="91" t="s">
        <v>197</v>
      </c>
      <c r="C17" s="91" t="s">
        <v>200</v>
      </c>
      <c r="D17" s="105" t="s">
        <v>201</v>
      </c>
      <c r="E17" s="109">
        <f t="shared" si="1"/>
        <v>1073</v>
      </c>
      <c r="F17" s="110">
        <v>431.0</v>
      </c>
      <c r="G17" s="110">
        <v>506.0</v>
      </c>
      <c r="H17" s="111">
        <v>136.0</v>
      </c>
    </row>
    <row r="18">
      <c r="A18" s="91"/>
      <c r="B18" s="91" t="s">
        <v>202</v>
      </c>
      <c r="C18" s="91" t="s">
        <v>203</v>
      </c>
      <c r="D18" s="104" t="s">
        <v>203</v>
      </c>
      <c r="E18" s="101">
        <f t="shared" si="1"/>
        <v>2217</v>
      </c>
      <c r="F18" s="102">
        <v>1579.0</v>
      </c>
      <c r="G18" s="102">
        <v>385.0</v>
      </c>
      <c r="H18" s="103">
        <v>253.0</v>
      </c>
    </row>
    <row r="19">
      <c r="A19" s="91"/>
      <c r="B19" s="91" t="s">
        <v>202</v>
      </c>
      <c r="C19" s="91" t="s">
        <v>204</v>
      </c>
      <c r="D19" s="104" t="s">
        <v>205</v>
      </c>
      <c r="E19" s="101">
        <f t="shared" si="1"/>
        <v>1310</v>
      </c>
      <c r="F19" s="102">
        <v>749.0</v>
      </c>
      <c r="G19" s="102">
        <v>448.0</v>
      </c>
      <c r="H19" s="103">
        <v>113.0</v>
      </c>
    </row>
    <row r="20">
      <c r="A20" s="91"/>
      <c r="B20" s="91" t="s">
        <v>202</v>
      </c>
      <c r="C20" s="91" t="s">
        <v>206</v>
      </c>
      <c r="D20" s="105" t="s">
        <v>207</v>
      </c>
      <c r="E20" s="97">
        <f t="shared" si="1"/>
        <v>880</v>
      </c>
      <c r="F20" s="98">
        <v>360.0</v>
      </c>
      <c r="G20" s="98">
        <v>404.0</v>
      </c>
      <c r="H20" s="99">
        <v>116.0</v>
      </c>
    </row>
    <row r="21">
      <c r="A21" s="91" t="s">
        <v>208</v>
      </c>
      <c r="B21" s="91" t="s">
        <v>209</v>
      </c>
      <c r="C21" s="91" t="s">
        <v>210</v>
      </c>
      <c r="D21" s="104" t="s">
        <v>211</v>
      </c>
      <c r="E21" s="101">
        <f t="shared" si="1"/>
        <v>2699</v>
      </c>
      <c r="F21" s="102">
        <v>1627.0</v>
      </c>
      <c r="G21" s="102">
        <v>850.0</v>
      </c>
      <c r="H21" s="103">
        <v>222.0</v>
      </c>
    </row>
    <row r="22">
      <c r="A22" s="91" t="s">
        <v>208</v>
      </c>
      <c r="B22" s="91" t="s">
        <v>212</v>
      </c>
      <c r="C22" s="91" t="s">
        <v>3</v>
      </c>
      <c r="D22" s="104" t="s">
        <v>213</v>
      </c>
      <c r="E22" s="101">
        <f t="shared" si="1"/>
        <v>8157</v>
      </c>
      <c r="F22" s="102">
        <v>3609.0</v>
      </c>
      <c r="G22" s="102">
        <v>2938.0</v>
      </c>
      <c r="H22" s="103">
        <v>1610.0</v>
      </c>
    </row>
    <row r="23">
      <c r="A23" s="91" t="s">
        <v>208</v>
      </c>
      <c r="B23" s="91" t="s">
        <v>98</v>
      </c>
      <c r="C23" s="91" t="s">
        <v>106</v>
      </c>
      <c r="D23" s="104" t="s">
        <v>214</v>
      </c>
      <c r="E23" s="101">
        <f t="shared" si="1"/>
        <v>2525</v>
      </c>
      <c r="F23" s="102">
        <v>2044.0</v>
      </c>
      <c r="G23" s="102">
        <v>371.0</v>
      </c>
      <c r="H23" s="103">
        <v>110.0</v>
      </c>
    </row>
    <row r="24">
      <c r="A24" s="91" t="s">
        <v>208</v>
      </c>
      <c r="B24" s="91" t="s">
        <v>215</v>
      </c>
      <c r="C24" s="91" t="s">
        <v>216</v>
      </c>
      <c r="D24" s="105" t="s">
        <v>217</v>
      </c>
      <c r="E24" s="109">
        <f t="shared" si="1"/>
        <v>280</v>
      </c>
      <c r="F24" s="110">
        <v>160.0</v>
      </c>
      <c r="G24" s="110">
        <v>102.0</v>
      </c>
      <c r="H24" s="111">
        <v>18.0</v>
      </c>
    </row>
    <row r="25">
      <c r="A25" s="91" t="s">
        <v>218</v>
      </c>
      <c r="B25" s="91" t="s">
        <v>4</v>
      </c>
      <c r="C25" s="91" t="s">
        <v>8</v>
      </c>
      <c r="D25" s="105" t="s">
        <v>219</v>
      </c>
      <c r="E25" s="97">
        <f t="shared" si="1"/>
        <v>6085</v>
      </c>
      <c r="F25" s="98">
        <v>1907.0</v>
      </c>
      <c r="G25" s="98">
        <v>3023.0</v>
      </c>
      <c r="H25" s="99">
        <v>1155.0</v>
      </c>
    </row>
    <row r="26">
      <c r="A26" s="91" t="s">
        <v>220</v>
      </c>
      <c r="B26" s="91" t="s">
        <v>99</v>
      </c>
      <c r="C26" s="91" t="s">
        <v>105</v>
      </c>
      <c r="D26" s="104" t="s">
        <v>221</v>
      </c>
      <c r="E26" s="101">
        <f t="shared" si="1"/>
        <v>26461</v>
      </c>
      <c r="F26" s="102">
        <v>7422.0</v>
      </c>
      <c r="G26" s="102">
        <v>11187.0</v>
      </c>
      <c r="H26" s="103">
        <v>7852.0</v>
      </c>
    </row>
    <row r="27">
      <c r="A27" s="91" t="s">
        <v>220</v>
      </c>
      <c r="B27" s="91" t="s">
        <v>99</v>
      </c>
      <c r="C27" s="91" t="s">
        <v>222</v>
      </c>
      <c r="D27" s="105" t="s">
        <v>223</v>
      </c>
      <c r="E27" s="97">
        <f t="shared" si="1"/>
        <v>12590</v>
      </c>
      <c r="F27" s="98">
        <v>6239.0</v>
      </c>
      <c r="G27" s="98">
        <v>4412.0</v>
      </c>
      <c r="H27" s="99">
        <v>1939.0</v>
      </c>
    </row>
    <row r="28">
      <c r="A28" s="91" t="s">
        <v>224</v>
      </c>
      <c r="B28" s="91" t="s">
        <v>3</v>
      </c>
      <c r="C28" s="91" t="s">
        <v>225</v>
      </c>
      <c r="D28" s="100" t="s">
        <v>226</v>
      </c>
      <c r="E28" s="101">
        <f t="shared" si="1"/>
        <v>2516</v>
      </c>
      <c r="F28" s="102">
        <v>1243.0</v>
      </c>
      <c r="G28" s="102">
        <v>999.0</v>
      </c>
      <c r="H28" s="103">
        <v>274.0</v>
      </c>
    </row>
    <row r="29">
      <c r="A29" s="91" t="s">
        <v>224</v>
      </c>
      <c r="B29" s="91" t="s">
        <v>3</v>
      </c>
      <c r="C29" s="91" t="s">
        <v>227</v>
      </c>
      <c r="D29" s="100" t="s">
        <v>228</v>
      </c>
      <c r="E29" s="101">
        <f t="shared" si="1"/>
        <v>288</v>
      </c>
      <c r="F29" s="102">
        <v>151.0</v>
      </c>
      <c r="G29" s="102">
        <v>80.0</v>
      </c>
      <c r="H29" s="103">
        <v>57.0</v>
      </c>
    </row>
    <row r="30">
      <c r="A30" s="91" t="s">
        <v>224</v>
      </c>
      <c r="B30" s="91" t="s">
        <v>3</v>
      </c>
      <c r="C30" s="91" t="s">
        <v>229</v>
      </c>
      <c r="D30" s="100" t="s">
        <v>230</v>
      </c>
      <c r="E30" s="101">
        <f t="shared" si="1"/>
        <v>338</v>
      </c>
      <c r="F30" s="102">
        <v>301.0</v>
      </c>
      <c r="G30" s="102">
        <v>10.0</v>
      </c>
      <c r="H30" s="103">
        <v>27.0</v>
      </c>
    </row>
    <row r="31">
      <c r="A31" s="91" t="s">
        <v>224</v>
      </c>
      <c r="B31" s="91" t="s">
        <v>3</v>
      </c>
      <c r="C31" s="91" t="s">
        <v>231</v>
      </c>
      <c r="D31" s="105" t="s">
        <v>232</v>
      </c>
      <c r="E31" s="97">
        <f t="shared" si="1"/>
        <v>271</v>
      </c>
      <c r="F31" s="98">
        <v>268.0</v>
      </c>
      <c r="G31" s="98">
        <v>0.0</v>
      </c>
      <c r="H31" s="99">
        <v>3.0</v>
      </c>
    </row>
    <row r="32">
      <c r="A32" s="91" t="s">
        <v>224</v>
      </c>
      <c r="B32" s="91" t="s">
        <v>3</v>
      </c>
      <c r="C32" s="91" t="s">
        <v>233</v>
      </c>
      <c r="D32" s="100" t="s">
        <v>234</v>
      </c>
      <c r="E32" s="101">
        <f t="shared" si="1"/>
        <v>1326</v>
      </c>
      <c r="F32" s="102">
        <v>894.0</v>
      </c>
      <c r="G32" s="102">
        <v>364.0</v>
      </c>
      <c r="H32" s="103">
        <v>68.0</v>
      </c>
    </row>
    <row r="33">
      <c r="A33" s="91" t="s">
        <v>224</v>
      </c>
      <c r="B33" s="91" t="s">
        <v>3</v>
      </c>
      <c r="C33" s="91" t="s">
        <v>235</v>
      </c>
      <c r="D33" s="100" t="s">
        <v>236</v>
      </c>
      <c r="E33" s="101">
        <f t="shared" si="1"/>
        <v>123</v>
      </c>
      <c r="F33" s="102">
        <v>99.0</v>
      </c>
      <c r="G33" s="102">
        <v>14.0</v>
      </c>
      <c r="H33" s="103">
        <v>10.0</v>
      </c>
    </row>
    <row r="34">
      <c r="A34" s="91" t="s">
        <v>224</v>
      </c>
      <c r="B34" s="91" t="s">
        <v>3</v>
      </c>
      <c r="C34" s="91" t="s">
        <v>237</v>
      </c>
      <c r="D34" s="100" t="s">
        <v>238</v>
      </c>
      <c r="E34" s="101">
        <f t="shared" si="1"/>
        <v>146</v>
      </c>
      <c r="F34" s="102">
        <v>135.0</v>
      </c>
      <c r="G34" s="102">
        <v>5.0</v>
      </c>
      <c r="H34" s="103">
        <v>6.0</v>
      </c>
    </row>
    <row r="35">
      <c r="A35" s="91" t="s">
        <v>224</v>
      </c>
      <c r="B35" s="91" t="s">
        <v>3</v>
      </c>
      <c r="C35" s="91" t="s">
        <v>239</v>
      </c>
      <c r="D35" s="96" t="s">
        <v>240</v>
      </c>
      <c r="E35" s="97">
        <f t="shared" si="1"/>
        <v>20</v>
      </c>
      <c r="F35" s="98">
        <v>16.0</v>
      </c>
      <c r="G35" s="98">
        <v>0.0</v>
      </c>
      <c r="H35" s="99">
        <v>4.0</v>
      </c>
    </row>
    <row r="36">
      <c r="A36" s="91" t="s">
        <v>224</v>
      </c>
      <c r="B36" s="91" t="s">
        <v>3</v>
      </c>
      <c r="C36" s="91" t="s">
        <v>241</v>
      </c>
      <c r="D36" s="100" t="s">
        <v>242</v>
      </c>
      <c r="E36" s="101">
        <f t="shared" si="1"/>
        <v>9202</v>
      </c>
      <c r="F36" s="102">
        <v>4048.0</v>
      </c>
      <c r="G36" s="102">
        <v>3631.0</v>
      </c>
      <c r="H36" s="103">
        <v>1523.0</v>
      </c>
    </row>
    <row r="37">
      <c r="A37" s="91" t="s">
        <v>224</v>
      </c>
      <c r="B37" s="91" t="s">
        <v>3</v>
      </c>
      <c r="C37" s="91" t="s">
        <v>243</v>
      </c>
      <c r="D37" s="100" t="s">
        <v>244</v>
      </c>
      <c r="E37" s="101">
        <f t="shared" si="1"/>
        <v>1643</v>
      </c>
      <c r="F37" s="102">
        <v>979.0</v>
      </c>
      <c r="G37" s="102">
        <v>97.0</v>
      </c>
      <c r="H37" s="103">
        <v>567.0</v>
      </c>
    </row>
    <row r="38">
      <c r="A38" s="91" t="s">
        <v>224</v>
      </c>
      <c r="B38" s="91" t="s">
        <v>3</v>
      </c>
      <c r="C38" s="91" t="s">
        <v>245</v>
      </c>
      <c r="D38" s="100" t="s">
        <v>246</v>
      </c>
      <c r="E38" s="101">
        <f t="shared" si="1"/>
        <v>726</v>
      </c>
      <c r="F38" s="102">
        <v>529.0</v>
      </c>
      <c r="G38" s="102">
        <v>30.0</v>
      </c>
      <c r="H38" s="103">
        <v>167.0</v>
      </c>
    </row>
    <row r="39">
      <c r="A39" s="91" t="s">
        <v>224</v>
      </c>
      <c r="B39" s="91" t="s">
        <v>3</v>
      </c>
      <c r="C39" s="91" t="s">
        <v>247</v>
      </c>
      <c r="D39" s="96" t="s">
        <v>248</v>
      </c>
      <c r="E39" s="97">
        <f t="shared" si="1"/>
        <v>1412</v>
      </c>
      <c r="F39" s="98">
        <v>1400.0</v>
      </c>
      <c r="G39" s="98">
        <v>1.0</v>
      </c>
      <c r="H39" s="99">
        <v>11.0</v>
      </c>
    </row>
    <row r="40">
      <c r="A40" s="91" t="s">
        <v>224</v>
      </c>
      <c r="B40" s="91" t="s">
        <v>3</v>
      </c>
      <c r="C40" s="91" t="s">
        <v>249</v>
      </c>
      <c r="D40" s="100" t="s">
        <v>250</v>
      </c>
      <c r="E40" s="101">
        <f t="shared" si="1"/>
        <v>2146</v>
      </c>
      <c r="F40" s="102">
        <v>1211.0</v>
      </c>
      <c r="G40" s="102">
        <v>851.0</v>
      </c>
      <c r="H40" s="103">
        <v>84.0</v>
      </c>
    </row>
    <row r="41">
      <c r="A41" s="91" t="s">
        <v>224</v>
      </c>
      <c r="B41" s="91" t="s">
        <v>3</v>
      </c>
      <c r="C41" s="91" t="s">
        <v>251</v>
      </c>
      <c r="D41" s="100" t="s">
        <v>252</v>
      </c>
      <c r="E41" s="101">
        <f t="shared" si="1"/>
        <v>387</v>
      </c>
      <c r="F41" s="102">
        <v>344.0</v>
      </c>
      <c r="G41" s="102">
        <v>26.0</v>
      </c>
      <c r="H41" s="103">
        <v>17.0</v>
      </c>
    </row>
    <row r="42">
      <c r="A42" s="91" t="s">
        <v>224</v>
      </c>
      <c r="B42" s="91" t="s">
        <v>3</v>
      </c>
      <c r="C42" s="91" t="s">
        <v>253</v>
      </c>
      <c r="D42" s="100" t="s">
        <v>254</v>
      </c>
      <c r="E42" s="101">
        <f t="shared" si="1"/>
        <v>160</v>
      </c>
      <c r="F42" s="102">
        <v>148.0</v>
      </c>
      <c r="G42" s="102">
        <v>4.0</v>
      </c>
      <c r="H42" s="103">
        <v>8.0</v>
      </c>
    </row>
    <row r="43">
      <c r="A43" s="91" t="s">
        <v>224</v>
      </c>
      <c r="B43" s="91" t="s">
        <v>3</v>
      </c>
      <c r="C43" s="91" t="s">
        <v>255</v>
      </c>
      <c r="D43" s="96" t="s">
        <v>256</v>
      </c>
      <c r="E43" s="97">
        <f t="shared" si="1"/>
        <v>665</v>
      </c>
      <c r="F43" s="98">
        <v>663.0</v>
      </c>
      <c r="G43" s="98">
        <v>0.0</v>
      </c>
      <c r="H43" s="99">
        <v>2.0</v>
      </c>
    </row>
    <row r="44">
      <c r="A44" s="91" t="s">
        <v>224</v>
      </c>
      <c r="B44" s="91" t="s">
        <v>3</v>
      </c>
      <c r="C44" s="91" t="s">
        <v>257</v>
      </c>
      <c r="D44" s="100" t="s">
        <v>258</v>
      </c>
      <c r="E44" s="101">
        <f t="shared" si="1"/>
        <v>577</v>
      </c>
      <c r="F44" s="102">
        <v>318.0</v>
      </c>
      <c r="G44" s="102">
        <v>203.0</v>
      </c>
      <c r="H44" s="103">
        <v>56.0</v>
      </c>
    </row>
    <row r="45">
      <c r="A45" s="91" t="s">
        <v>224</v>
      </c>
      <c r="B45" s="91" t="s">
        <v>3</v>
      </c>
      <c r="C45" s="91" t="s">
        <v>259</v>
      </c>
      <c r="D45" s="100" t="s">
        <v>260</v>
      </c>
      <c r="E45" s="101">
        <f t="shared" si="1"/>
        <v>106</v>
      </c>
      <c r="F45" s="102">
        <v>91.0</v>
      </c>
      <c r="G45" s="102">
        <v>4.0</v>
      </c>
      <c r="H45" s="103">
        <v>11.0</v>
      </c>
    </row>
    <row r="46">
      <c r="A46" s="91" t="s">
        <v>224</v>
      </c>
      <c r="B46" s="91" t="s">
        <v>3</v>
      </c>
      <c r="C46" s="91" t="s">
        <v>261</v>
      </c>
      <c r="D46" s="100" t="s">
        <v>262</v>
      </c>
      <c r="E46" s="101">
        <f t="shared" si="1"/>
        <v>45</v>
      </c>
      <c r="F46" s="102">
        <v>42.0</v>
      </c>
      <c r="G46" s="102">
        <v>0.0</v>
      </c>
      <c r="H46" s="103">
        <v>3.0</v>
      </c>
    </row>
    <row r="47">
      <c r="A47" s="91" t="s">
        <v>224</v>
      </c>
      <c r="B47" s="91" t="s">
        <v>3</v>
      </c>
      <c r="C47" s="91" t="s">
        <v>263</v>
      </c>
      <c r="D47" s="112" t="s">
        <v>264</v>
      </c>
      <c r="E47" s="113">
        <f t="shared" si="1"/>
        <v>105</v>
      </c>
      <c r="F47" s="114">
        <v>104.0</v>
      </c>
      <c r="G47" s="114">
        <v>0.0</v>
      </c>
      <c r="H47" s="115">
        <v>1.0</v>
      </c>
    </row>
    <row r="48">
      <c r="A48" s="116" t="s">
        <v>224</v>
      </c>
      <c r="B48" s="116" t="s">
        <v>3</v>
      </c>
      <c r="C48" s="117" t="s">
        <v>265</v>
      </c>
      <c r="D48" s="118" t="s">
        <v>266</v>
      </c>
      <c r="E48" s="101">
        <f t="shared" si="1"/>
        <v>3413</v>
      </c>
      <c r="F48" s="102">
        <f t="shared" ref="F48:H48" si="2">SUM(F28:F31)</f>
        <v>1963</v>
      </c>
      <c r="G48" s="102">
        <f t="shared" si="2"/>
        <v>1089</v>
      </c>
      <c r="H48" s="103">
        <f t="shared" si="2"/>
        <v>361</v>
      </c>
    </row>
    <row r="49">
      <c r="A49" s="116" t="s">
        <v>224</v>
      </c>
      <c r="B49" s="116" t="s">
        <v>3</v>
      </c>
      <c r="C49" s="117" t="s">
        <v>267</v>
      </c>
      <c r="D49" s="105" t="s">
        <v>268</v>
      </c>
      <c r="E49" s="97">
        <f t="shared" si="1"/>
        <v>1615</v>
      </c>
      <c r="F49" s="98">
        <f t="shared" ref="F49:H49" si="3">SUM(F32:F35)</f>
        <v>1144</v>
      </c>
      <c r="G49" s="98">
        <f t="shared" si="3"/>
        <v>383</v>
      </c>
      <c r="H49" s="119">
        <f t="shared" si="3"/>
        <v>88</v>
      </c>
    </row>
    <row r="50">
      <c r="A50" s="116" t="s">
        <v>224</v>
      </c>
      <c r="B50" s="116" t="s">
        <v>3</v>
      </c>
      <c r="C50" s="117" t="s">
        <v>269</v>
      </c>
      <c r="D50" s="104" t="s">
        <v>270</v>
      </c>
      <c r="E50" s="101">
        <f t="shared" si="1"/>
        <v>12983</v>
      </c>
      <c r="F50" s="102">
        <f t="shared" ref="F50:H50" si="4">SUM(F36:F39)</f>
        <v>6956</v>
      </c>
      <c r="G50" s="102">
        <f t="shared" si="4"/>
        <v>3759</v>
      </c>
      <c r="H50" s="103">
        <f t="shared" si="4"/>
        <v>2268</v>
      </c>
    </row>
    <row r="51">
      <c r="A51" s="116" t="s">
        <v>224</v>
      </c>
      <c r="B51" s="116" t="s">
        <v>3</v>
      </c>
      <c r="C51" s="117" t="s">
        <v>271</v>
      </c>
      <c r="D51" s="104" t="s">
        <v>272</v>
      </c>
      <c r="E51" s="101">
        <f t="shared" si="1"/>
        <v>3358</v>
      </c>
      <c r="F51" s="102">
        <f t="shared" ref="F51:H51" si="5">SUM(F40:F43)</f>
        <v>2366</v>
      </c>
      <c r="G51" s="102">
        <f t="shared" si="5"/>
        <v>881</v>
      </c>
      <c r="H51" s="103">
        <f t="shared" si="5"/>
        <v>111</v>
      </c>
    </row>
    <row r="52">
      <c r="A52" s="116" t="s">
        <v>224</v>
      </c>
      <c r="B52" s="116" t="s">
        <v>3</v>
      </c>
      <c r="C52" s="117" t="s">
        <v>273</v>
      </c>
      <c r="D52" s="105" t="s">
        <v>274</v>
      </c>
      <c r="E52" s="97">
        <f t="shared" si="1"/>
        <v>833</v>
      </c>
      <c r="F52" s="98">
        <f t="shared" ref="F52:H52" si="6">SUM(F44:F47)</f>
        <v>555</v>
      </c>
      <c r="G52" s="98">
        <f t="shared" si="6"/>
        <v>207</v>
      </c>
      <c r="H52" s="99">
        <f t="shared" si="6"/>
        <v>71</v>
      </c>
    </row>
    <row r="53">
      <c r="A53" s="120"/>
      <c r="B53" s="120"/>
      <c r="C53" s="120"/>
      <c r="D53" s="121" t="s">
        <v>156</v>
      </c>
      <c r="E53" s="122">
        <f t="shared" ref="E53:H53" si="7">SUM(E2:E47)</f>
        <v>105284</v>
      </c>
      <c r="F53" s="97">
        <f t="shared" si="7"/>
        <v>47702</v>
      </c>
      <c r="G53" s="97">
        <f t="shared" si="7"/>
        <v>39461</v>
      </c>
      <c r="H53" s="123">
        <f t="shared" si="7"/>
        <v>18121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7" width="11.13"/>
  </cols>
  <sheetData>
    <row r="1">
      <c r="A1" s="1"/>
      <c r="B1" s="22" t="s">
        <v>0</v>
      </c>
      <c r="C1" s="22" t="s">
        <v>1</v>
      </c>
      <c r="D1" s="22" t="s">
        <v>3</v>
      </c>
      <c r="E1" s="22" t="s">
        <v>8</v>
      </c>
      <c r="F1" s="22" t="s">
        <v>2</v>
      </c>
      <c r="G1" s="22" t="s">
        <v>5</v>
      </c>
    </row>
    <row r="2">
      <c r="A2" s="2">
        <v>39630.0</v>
      </c>
      <c r="B2" s="23">
        <v>1.0</v>
      </c>
      <c r="C2" s="24">
        <v>0.6808163265306122</v>
      </c>
      <c r="D2" s="24">
        <v>0.7776967346938776</v>
      </c>
      <c r="E2" s="25">
        <v>0.6808163265306122</v>
      </c>
      <c r="F2" s="24">
        <v>0.6808163265306122</v>
      </c>
      <c r="G2" s="25">
        <v>0.5923102040816327</v>
      </c>
    </row>
    <row r="3">
      <c r="A3" s="2">
        <v>39995.0</v>
      </c>
      <c r="B3" s="23">
        <v>1.0</v>
      </c>
      <c r="C3" s="24">
        <v>0.7453061224489796</v>
      </c>
      <c r="D3" s="24">
        <v>0.8040742857142857</v>
      </c>
      <c r="E3" s="25">
        <v>0.7453061224489796</v>
      </c>
      <c r="F3" s="24">
        <v>0.7453061224489796</v>
      </c>
      <c r="G3" s="25">
        <v>0.7080408163265306</v>
      </c>
    </row>
    <row r="4">
      <c r="A4" s="2">
        <v>40057.0</v>
      </c>
      <c r="B4" s="23">
        <v>1.0</v>
      </c>
      <c r="C4" s="24">
        <v>0.7098153547133139</v>
      </c>
      <c r="D4" s="24">
        <v>0.7657850340136054</v>
      </c>
      <c r="E4" s="25">
        <v>0.7098153547133139</v>
      </c>
      <c r="F4" s="24">
        <v>0.7098153547133139</v>
      </c>
      <c r="G4" s="25">
        <v>0.6743245869776482</v>
      </c>
    </row>
    <row r="5">
      <c r="A5" s="2">
        <v>40210.0</v>
      </c>
      <c r="B5" s="23">
        <v>1.0</v>
      </c>
      <c r="C5" s="24">
        <v>0.6833031909061551</v>
      </c>
      <c r="D5" s="24">
        <v>0.7371823585036633</v>
      </c>
      <c r="E5" s="25">
        <v>0.6833031909061551</v>
      </c>
      <c r="F5" s="24">
        <v>0.6833031909061551</v>
      </c>
      <c r="G5" s="25">
        <v>0.6491380313608474</v>
      </c>
    </row>
    <row r="6">
      <c r="A6" s="2">
        <v>40360.0</v>
      </c>
      <c r="B6" s="23">
        <v>1.0</v>
      </c>
      <c r="C6" s="24">
        <v>0.7278713234564963</v>
      </c>
      <c r="D6" s="24">
        <v>0.7371823585036633</v>
      </c>
      <c r="E6" s="25">
        <v>0.7278713234564963</v>
      </c>
      <c r="F6" s="24">
        <v>0.7278713234564963</v>
      </c>
      <c r="G6" s="25">
        <v>0.6914777572836714</v>
      </c>
    </row>
    <row r="7">
      <c r="A7" s="2">
        <v>41275.0</v>
      </c>
      <c r="B7" s="23">
        <v>1.0</v>
      </c>
      <c r="C7" s="24">
        <v>0.7278712326648322</v>
      </c>
      <c r="D7" s="24">
        <v>0.7371822309117586</v>
      </c>
      <c r="E7" s="26">
        <v>0.7278712326648322</v>
      </c>
      <c r="F7" s="24">
        <v>0.7278712326648322</v>
      </c>
      <c r="G7" s="26">
        <v>0.6914775819345392</v>
      </c>
    </row>
    <row r="8">
      <c r="A8" s="2">
        <v>41640.0</v>
      </c>
      <c r="B8" s="23">
        <v>1.0</v>
      </c>
      <c r="C8" s="24">
        <v>0.727177998964777</v>
      </c>
      <c r="D8" s="24">
        <v>0.7371823265365001</v>
      </c>
      <c r="E8" s="26">
        <v>0.7264849086542949</v>
      </c>
      <c r="F8" s="24">
        <v>0.7264849086542949</v>
      </c>
      <c r="G8" s="26">
        <v>0.6908192687252331</v>
      </c>
    </row>
    <row r="9">
      <c r="A9" s="2">
        <v>42005.0</v>
      </c>
      <c r="B9" s="23">
        <v>1.0</v>
      </c>
      <c r="C9" s="24">
        <v>0.6669117080828125</v>
      </c>
      <c r="D9" s="24">
        <v>0.6754435328614163</v>
      </c>
      <c r="E9" s="26">
        <v>0.6669099309895448</v>
      </c>
      <c r="F9" s="24">
        <v>0.6669099309895448</v>
      </c>
      <c r="G9" s="26">
        <v>0.6335663300062198</v>
      </c>
    </row>
    <row r="10">
      <c r="A10" s="2">
        <v>42583.0</v>
      </c>
      <c r="B10" s="23">
        <v>1.0</v>
      </c>
      <c r="C10" s="24">
        <v>0.7924464650653081</v>
      </c>
      <c r="D10" s="24">
        <v>0.6754435328614163</v>
      </c>
      <c r="E10" s="26">
        <v>0.6669099309895448</v>
      </c>
      <c r="F10" s="24">
        <v>0.6669099309895448</v>
      </c>
      <c r="G10" s="26">
        <v>0.6684124633474514</v>
      </c>
    </row>
    <row r="11">
      <c r="A11" s="2">
        <v>42614.0</v>
      </c>
      <c r="B11" s="23">
        <v>1.0</v>
      </c>
      <c r="C11" s="24">
        <v>0.7924464650653081</v>
      </c>
      <c r="D11" s="24">
        <v>0.6754435328614163</v>
      </c>
      <c r="E11" s="26">
        <v>0.7557645943784617</v>
      </c>
      <c r="F11" s="24">
        <v>0.7557645943784617</v>
      </c>
      <c r="G11" s="26">
        <v>0.6684124633474514</v>
      </c>
    </row>
    <row r="12">
      <c r="A12" s="2">
        <v>42734.0</v>
      </c>
      <c r="B12" s="23">
        <v>1.0</v>
      </c>
      <c r="C12" s="24">
        <v>0.7924464650653081</v>
      </c>
      <c r="D12" s="24">
        <v>0.6754435328614163</v>
      </c>
      <c r="E12" s="26">
        <v>0.7924446879720405</v>
      </c>
      <c r="F12" s="24">
        <v>0.7924446879720405</v>
      </c>
      <c r="G12" s="26">
        <v>0.6684124633474514</v>
      </c>
    </row>
    <row r="13">
      <c r="A13" s="2">
        <v>42736.0</v>
      </c>
      <c r="B13" s="23">
        <v>1.0</v>
      </c>
      <c r="C13" s="24">
        <v>0.8472481710748452</v>
      </c>
      <c r="D13" s="24">
        <v>0.8370772739389273</v>
      </c>
      <c r="E13" s="26">
        <v>0.8276240263009803</v>
      </c>
      <c r="F13" s="24">
        <v>0.8276240263009803</v>
      </c>
      <c r="G13" s="26">
        <v>0.7150626425376891</v>
      </c>
    </row>
    <row r="14">
      <c r="A14" s="2">
        <v>43101.0</v>
      </c>
      <c r="B14" s="23">
        <v>1.0</v>
      </c>
      <c r="C14" s="24">
        <v>0.964959571128158</v>
      </c>
      <c r="D14" s="24">
        <v>0.8768385510766223</v>
      </c>
      <c r="E14" s="26">
        <v>0.8627156946953766</v>
      </c>
      <c r="F14" s="24">
        <v>0.8627156946953766</v>
      </c>
      <c r="G14" s="26">
        <v>0.762539170097444</v>
      </c>
    </row>
    <row r="15">
      <c r="A15" s="2">
        <v>43431.0</v>
      </c>
      <c r="B15" s="23">
        <v>1.0</v>
      </c>
      <c r="C15" s="24">
        <v>0.8439406623406827</v>
      </c>
      <c r="D15" s="24">
        <v>0.7534283296004766</v>
      </c>
      <c r="E15" s="26">
        <v>0.7412931878694881</v>
      </c>
      <c r="F15" s="24">
        <v>0.7412931878694881</v>
      </c>
      <c r="G15" s="26">
        <v>0.6552159601970405</v>
      </c>
    </row>
    <row r="16">
      <c r="A16" s="2">
        <v>43466.0</v>
      </c>
      <c r="B16" s="23">
        <v>1.0</v>
      </c>
      <c r="C16" s="24">
        <v>0.8785220999396336</v>
      </c>
      <c r="D16" s="24">
        <v>0.7873325542356818</v>
      </c>
      <c r="E16" s="26">
        <v>0.7712155653938124</v>
      </c>
      <c r="F16" s="24">
        <v>0.7712155653938124</v>
      </c>
      <c r="G16" s="26">
        <v>0.6965476574644239</v>
      </c>
    </row>
    <row r="17">
      <c r="A17" s="2">
        <v>43831.0</v>
      </c>
      <c r="B17" s="23">
        <v>1.0</v>
      </c>
      <c r="C17" s="24">
        <v>0.8946482506441298</v>
      </c>
      <c r="D17" s="24">
        <v>0.7873325542356818</v>
      </c>
      <c r="E17" s="26">
        <v>0.7712155653938124</v>
      </c>
      <c r="F17" s="24">
        <v>0.7712155653938124</v>
      </c>
      <c r="G17" s="26">
        <v>0.6965476574644239</v>
      </c>
    </row>
    <row r="18">
      <c r="A18" s="2">
        <v>44197.0</v>
      </c>
      <c r="B18" s="27">
        <v>1.0</v>
      </c>
      <c r="C18" s="28">
        <v>0.9390374750720988</v>
      </c>
      <c r="D18" s="28">
        <v>0.7873325542356818</v>
      </c>
      <c r="E18" s="26">
        <v>0.7712155653938124</v>
      </c>
      <c r="F18" s="28">
        <v>0.7712155653938124</v>
      </c>
      <c r="G18" s="26">
        <v>0.6965476574644239</v>
      </c>
    </row>
    <row r="19">
      <c r="A19" s="2">
        <v>44562.0</v>
      </c>
      <c r="B19" s="27">
        <v>1.0</v>
      </c>
      <c r="C19" s="28">
        <v>0.9958514577032431</v>
      </c>
      <c r="D19" s="28">
        <v>0.7873325542356818</v>
      </c>
      <c r="E19" s="26">
        <v>0.7712155653938124</v>
      </c>
      <c r="F19" s="28">
        <v>0.7712155653938124</v>
      </c>
      <c r="G19" s="26">
        <v>0.6965476574644239</v>
      </c>
    </row>
    <row r="20">
      <c r="A20" s="2">
        <v>44958.0</v>
      </c>
      <c r="B20" s="23">
        <v>1.0</v>
      </c>
      <c r="C20" s="23">
        <v>1.0</v>
      </c>
      <c r="D20" s="24">
        <v>0.7873325542356818</v>
      </c>
      <c r="E20" s="26">
        <v>0.7712155653938124</v>
      </c>
      <c r="F20" s="24">
        <v>0.7712155653938124</v>
      </c>
      <c r="G20" s="26">
        <v>0.6965476574644239</v>
      </c>
    </row>
    <row r="21">
      <c r="A21" s="2">
        <v>45017.0</v>
      </c>
      <c r="B21" s="23">
        <v>1.0</v>
      </c>
      <c r="C21" s="24">
        <v>0.9940364053237988</v>
      </c>
      <c r="D21" s="24">
        <v>0.7427665605996997</v>
      </c>
      <c r="E21" s="26">
        <v>0.727561854145106</v>
      </c>
      <c r="F21" s="24">
        <v>0.727561854145106</v>
      </c>
      <c r="G21" s="26">
        <v>0.6571204315702112</v>
      </c>
    </row>
    <row r="22">
      <c r="A22" s="2">
        <v>45047.0</v>
      </c>
      <c r="B22" s="23">
        <v>1.0</v>
      </c>
      <c r="C22" s="23">
        <v>1.0000000720272206</v>
      </c>
      <c r="D22" s="24">
        <v>0.8096155355031773</v>
      </c>
      <c r="E22" s="26">
        <v>0.7865599559385483</v>
      </c>
      <c r="F22" s="24">
        <v>0.7865599559385483</v>
      </c>
      <c r="G22" s="26">
        <v>0.7162612566541148</v>
      </c>
    </row>
    <row r="23">
      <c r="A23" s="2">
        <v>45323.0</v>
      </c>
      <c r="B23" s="23">
        <v>1.0</v>
      </c>
      <c r="C23" s="23">
        <v>1.0000000363565977</v>
      </c>
      <c r="D23" s="24">
        <v>0.7662432462166234</v>
      </c>
      <c r="E23" s="26">
        <v>0.7444229251762313</v>
      </c>
      <c r="F23" s="24">
        <v>0.7785072355446531</v>
      </c>
      <c r="G23" s="26">
        <v>0.6778901241083363</v>
      </c>
    </row>
    <row r="24">
      <c r="A24" s="2">
        <v>45505.0</v>
      </c>
      <c r="B24" s="23">
        <v>1.0</v>
      </c>
      <c r="C24" s="23">
        <v>1.0</v>
      </c>
      <c r="D24" s="24">
        <v>0.7892305149093858</v>
      </c>
      <c r="E24" s="26">
        <v>0.7444228981115476</v>
      </c>
      <c r="F24" s="24">
        <v>0.7898686436171904</v>
      </c>
      <c r="G24" s="26">
        <v>0.6778900994625586</v>
      </c>
    </row>
    <row r="25">
      <c r="A25" s="2">
        <v>45658.0</v>
      </c>
      <c r="B25" s="23">
        <v>1.0</v>
      </c>
      <c r="C25" s="23">
        <v>0.9999999170615145</v>
      </c>
      <c r="D25" s="24">
        <v>0.7892305853502913</v>
      </c>
      <c r="E25" s="26">
        <v>0.7748543407049363</v>
      </c>
      <c r="F25" s="24">
        <v>0.8203000862105794</v>
      </c>
      <c r="G25" s="26">
        <v>0.7518112402047736</v>
      </c>
    </row>
    <row r="26">
      <c r="A26" s="2">
        <v>45689.0</v>
      </c>
      <c r="B26" s="23">
        <v>1.0</v>
      </c>
      <c r="C26" s="23">
        <v>1.0000000154053146</v>
      </c>
      <c r="D26" s="24">
        <v>0.7490990856714944</v>
      </c>
      <c r="E26" s="26">
        <v>0.7354537978066378</v>
      </c>
      <c r="F26" s="24">
        <v>0.8217235573366155</v>
      </c>
      <c r="G26" s="26">
        <v>0.713582472696199</v>
      </c>
    </row>
    <row r="27">
      <c r="A27" s="2">
        <v>45778.0</v>
      </c>
      <c r="B27" s="23">
        <v>1.0</v>
      </c>
      <c r="C27" s="23">
        <v>1.0</v>
      </c>
      <c r="D27" s="24">
        <v>0.7865540278379569</v>
      </c>
      <c r="E27" s="26">
        <v>0.735453786476741</v>
      </c>
      <c r="F27" s="24">
        <v>0.8217235446777059</v>
      </c>
      <c r="G27" s="26">
        <v>0.7135824617032367</v>
      </c>
    </row>
    <row r="28">
      <c r="A28" s="2">
        <v>46054.0</v>
      </c>
      <c r="B28" s="23">
        <v>1.0</v>
      </c>
      <c r="C28" s="23">
        <v>1.0</v>
      </c>
      <c r="D28" s="24">
        <v>0.7865539523519185</v>
      </c>
      <c r="E28" s="26">
        <v>0.735453786476741</v>
      </c>
      <c r="F28" s="24">
        <v>0.9187770226537915</v>
      </c>
      <c r="G28" s="26">
        <v>0.7135824617032367</v>
      </c>
    </row>
    <row r="29">
      <c r="A29" s="2">
        <v>46143.0</v>
      </c>
      <c r="B29" s="23">
        <v>1.0</v>
      </c>
      <c r="C29" s="23">
        <v>1.0000000560753426</v>
      </c>
      <c r="D29" s="24">
        <v>0.891813625769045</v>
      </c>
      <c r="E29" s="26">
        <v>0.7656376025289117</v>
      </c>
      <c r="F29" s="24">
        <v>0.9489608387059623</v>
      </c>
      <c r="G29" s="26">
        <v>0.7913956271105582</v>
      </c>
    </row>
    <row r="30">
      <c r="A30" s="3">
        <v>46419.0</v>
      </c>
      <c r="B30" s="29">
        <v>1.0</v>
      </c>
      <c r="C30" s="29">
        <v>0.9999999620937742</v>
      </c>
      <c r="D30" s="30">
        <v>0.8325175620457658</v>
      </c>
      <c r="E30" s="31">
        <v>0.7147313264258117</v>
      </c>
      <c r="F30" s="30">
        <v>0.893968834183035</v>
      </c>
      <c r="G30" s="31">
        <v>0.7387762858937685</v>
      </c>
    </row>
  </sheetData>
  <conditionalFormatting sqref="B2:G2">
    <cfRule type="colorScale" priority="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7:G17">
    <cfRule type="colorScale" priority="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1:G21">
    <cfRule type="colorScale" priority="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9:G29">
    <cfRule type="colorScale" priority="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3:G3">
    <cfRule type="colorScale" priority="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4:G4">
    <cfRule type="colorScale" priority="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7:G7">
    <cfRule type="colorScale" priority="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8:G8">
    <cfRule type="colorScale" priority="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9:G9">
    <cfRule type="colorScale" priority="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0:G10">
    <cfRule type="colorScale" priority="10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4:G14">
    <cfRule type="colorScale" priority="1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6:G16">
    <cfRule type="colorScale" priority="1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2:G22">
    <cfRule type="colorScale" priority="1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3:G23">
    <cfRule type="colorScale" priority="1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4:G24">
    <cfRule type="colorScale" priority="1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6:G26">
    <cfRule type="colorScale" priority="1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7:G27">
    <cfRule type="colorScale" priority="1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8:G28">
    <cfRule type="colorScale" priority="1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30:G30">
    <cfRule type="colorScale" priority="2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5:G5">
    <cfRule type="colorScale" priority="21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6:G6">
    <cfRule type="colorScale" priority="22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5:G15">
    <cfRule type="colorScale" priority="23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3:G13">
    <cfRule type="colorScale" priority="24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2:G12">
    <cfRule type="colorScale" priority="25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8:G18">
    <cfRule type="colorScale" priority="26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19:G19">
    <cfRule type="colorScale" priority="27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0:G20">
    <cfRule type="colorScale" priority="28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B25:G25">
    <cfRule type="colorScale" priority="29">
      <colorScale>
        <cfvo type="min"/>
        <cfvo type="percentile" val="50"/>
        <cfvo type="max"/>
        <color rgb="FFEA4335"/>
        <color rgb="FFFBBC04"/>
        <color rgb="FF34A853"/>
      </colorScale>
    </cfRule>
  </conditionalFormatting>
  <conditionalFormatting sqref="A1">
    <cfRule type="notContainsBlanks" dxfId="0" priority="30">
      <formula>LEN(TRIM(A1))&gt;0</formula>
    </cfRule>
  </conditionalFormatting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5.25"/>
    <col customWidth="1" min="3" max="3" width="9.38"/>
    <col customWidth="1" min="4" max="4" width="10.5"/>
    <col customWidth="1" min="5" max="5" width="12.63"/>
    <col customWidth="1" min="6" max="6" width="12.0"/>
    <col customWidth="1" min="7" max="7" width="7.75"/>
    <col customWidth="1" min="8" max="8" width="45.25"/>
    <col customWidth="1" min="9" max="9" width="6.0"/>
  </cols>
  <sheetData>
    <row r="1">
      <c r="A1" s="124" t="s">
        <v>275</v>
      </c>
      <c r="B1" s="124" t="s">
        <v>276</v>
      </c>
      <c r="C1" s="124" t="s">
        <v>277</v>
      </c>
      <c r="D1" s="124" t="s">
        <v>278</v>
      </c>
      <c r="E1" s="124" t="s">
        <v>279</v>
      </c>
      <c r="F1" s="124" t="s">
        <v>280</v>
      </c>
      <c r="G1" s="124" t="s">
        <v>281</v>
      </c>
      <c r="H1" s="124" t="s">
        <v>282</v>
      </c>
      <c r="I1" s="124"/>
    </row>
    <row r="2">
      <c r="A2" s="84" t="s">
        <v>283</v>
      </c>
      <c r="B2" s="84" t="s">
        <v>224</v>
      </c>
      <c r="C2" s="84" t="s">
        <v>269</v>
      </c>
      <c r="D2" s="84" t="s">
        <v>284</v>
      </c>
      <c r="E2" s="125">
        <v>3759.0</v>
      </c>
      <c r="F2" s="51">
        <f t="shared" ref="F2:F277" si="1">E2/G2*100</f>
        <v>28.95324655</v>
      </c>
      <c r="G2" s="125">
        <f>E2+E3+E4</f>
        <v>12983</v>
      </c>
      <c r="H2" s="125" t="s">
        <v>270</v>
      </c>
      <c r="I2" s="125">
        <v>3759.0</v>
      </c>
    </row>
    <row r="3">
      <c r="A3" s="84" t="s">
        <v>283</v>
      </c>
      <c r="B3" s="84" t="s">
        <v>224</v>
      </c>
      <c r="C3" s="84" t="s">
        <v>269</v>
      </c>
      <c r="D3" s="84" t="s">
        <v>285</v>
      </c>
      <c r="E3" s="125">
        <v>6956.0</v>
      </c>
      <c r="F3" s="51">
        <f t="shared" si="1"/>
        <v>53.57775553</v>
      </c>
      <c r="G3" s="125">
        <f t="shared" ref="G3:G4" si="2">G2</f>
        <v>12983</v>
      </c>
      <c r="H3" s="125" t="s">
        <v>270</v>
      </c>
      <c r="I3" s="125">
        <v>6956.0</v>
      </c>
    </row>
    <row r="4">
      <c r="A4" s="84" t="s">
        <v>283</v>
      </c>
      <c r="B4" s="84" t="s">
        <v>224</v>
      </c>
      <c r="C4" s="84" t="s">
        <v>269</v>
      </c>
      <c r="D4" s="84" t="s">
        <v>286</v>
      </c>
      <c r="E4" s="125">
        <v>2268.0</v>
      </c>
      <c r="F4" s="51">
        <f t="shared" si="1"/>
        <v>17.46899792</v>
      </c>
      <c r="G4" s="125">
        <f t="shared" si="2"/>
        <v>12983</v>
      </c>
      <c r="H4" s="125" t="s">
        <v>270</v>
      </c>
      <c r="I4" s="125">
        <v>2268.0</v>
      </c>
    </row>
    <row r="5">
      <c r="A5" s="84" t="s">
        <v>283</v>
      </c>
      <c r="B5" s="84" t="s">
        <v>224</v>
      </c>
      <c r="C5" s="84" t="s">
        <v>265</v>
      </c>
      <c r="D5" s="84" t="s">
        <v>284</v>
      </c>
      <c r="E5" s="125">
        <v>1089.0</v>
      </c>
      <c r="F5" s="51">
        <f t="shared" si="1"/>
        <v>31.90741283</v>
      </c>
      <c r="G5" s="125">
        <f>E5+E6+E7</f>
        <v>3413</v>
      </c>
      <c r="H5" s="125" t="s">
        <v>266</v>
      </c>
      <c r="I5" s="125">
        <v>1089.0</v>
      </c>
    </row>
    <row r="6">
      <c r="A6" s="84" t="s">
        <v>283</v>
      </c>
      <c r="B6" s="84" t="s">
        <v>224</v>
      </c>
      <c r="C6" s="84" t="s">
        <v>265</v>
      </c>
      <c r="D6" s="84" t="s">
        <v>285</v>
      </c>
      <c r="E6" s="125">
        <v>1963.0</v>
      </c>
      <c r="F6" s="51">
        <f t="shared" si="1"/>
        <v>57.51538236</v>
      </c>
      <c r="G6" s="125">
        <f t="shared" ref="G6:G7" si="3">G5</f>
        <v>3413</v>
      </c>
      <c r="H6" s="125" t="s">
        <v>266</v>
      </c>
      <c r="I6" s="125">
        <v>1963.0</v>
      </c>
    </row>
    <row r="7">
      <c r="A7" s="84" t="s">
        <v>283</v>
      </c>
      <c r="B7" s="84" t="s">
        <v>224</v>
      </c>
      <c r="C7" s="84" t="s">
        <v>265</v>
      </c>
      <c r="D7" s="84" t="s">
        <v>286</v>
      </c>
      <c r="E7" s="125">
        <v>361.0</v>
      </c>
      <c r="F7" s="51">
        <f t="shared" si="1"/>
        <v>10.57720481</v>
      </c>
      <c r="G7" s="125">
        <f t="shared" si="3"/>
        <v>3413</v>
      </c>
      <c r="H7" s="125" t="s">
        <v>266</v>
      </c>
      <c r="I7" s="125">
        <v>361.0</v>
      </c>
    </row>
    <row r="8">
      <c r="A8" s="84" t="s">
        <v>283</v>
      </c>
      <c r="B8" s="84" t="s">
        <v>224</v>
      </c>
      <c r="C8" s="84" t="s">
        <v>271</v>
      </c>
      <c r="D8" s="84" t="s">
        <v>284</v>
      </c>
      <c r="E8" s="125">
        <v>881.0</v>
      </c>
      <c r="F8" s="51">
        <f t="shared" si="1"/>
        <v>26.23585468</v>
      </c>
      <c r="G8" s="125">
        <f>E8+E9+E10</f>
        <v>3358</v>
      </c>
      <c r="H8" s="125" t="s">
        <v>272</v>
      </c>
      <c r="I8" s="125">
        <v>881.0</v>
      </c>
    </row>
    <row r="9">
      <c r="A9" s="84" t="s">
        <v>283</v>
      </c>
      <c r="B9" s="84" t="s">
        <v>224</v>
      </c>
      <c r="C9" s="84" t="s">
        <v>271</v>
      </c>
      <c r="D9" s="84" t="s">
        <v>285</v>
      </c>
      <c r="E9" s="125">
        <v>2366.0</v>
      </c>
      <c r="F9" s="51">
        <f t="shared" si="1"/>
        <v>70.45860631</v>
      </c>
      <c r="G9" s="125">
        <f t="shared" ref="G9:G10" si="4">G8</f>
        <v>3358</v>
      </c>
      <c r="H9" s="125" t="s">
        <v>272</v>
      </c>
      <c r="I9" s="125">
        <v>2366.0</v>
      </c>
    </row>
    <row r="10">
      <c r="A10" s="84" t="s">
        <v>283</v>
      </c>
      <c r="B10" s="84" t="s">
        <v>224</v>
      </c>
      <c r="C10" s="84" t="s">
        <v>271</v>
      </c>
      <c r="D10" s="84" t="s">
        <v>286</v>
      </c>
      <c r="E10" s="125">
        <v>111.0</v>
      </c>
      <c r="F10" s="51">
        <f t="shared" si="1"/>
        <v>3.305539011</v>
      </c>
      <c r="G10" s="125">
        <f t="shared" si="4"/>
        <v>3358</v>
      </c>
      <c r="H10" s="125" t="s">
        <v>272</v>
      </c>
      <c r="I10" s="125">
        <v>111.0</v>
      </c>
    </row>
    <row r="11">
      <c r="A11" s="84" t="s">
        <v>283</v>
      </c>
      <c r="B11" s="84" t="s">
        <v>224</v>
      </c>
      <c r="C11" s="84" t="s">
        <v>267</v>
      </c>
      <c r="D11" s="84" t="s">
        <v>284</v>
      </c>
      <c r="E11" s="125">
        <v>383.0</v>
      </c>
      <c r="F11" s="51">
        <f t="shared" si="1"/>
        <v>23.71517028</v>
      </c>
      <c r="G11" s="125">
        <f>E11+E12+E13</f>
        <v>1615</v>
      </c>
      <c r="H11" s="125" t="s">
        <v>268</v>
      </c>
      <c r="I11" s="125">
        <v>383.0</v>
      </c>
    </row>
    <row r="12">
      <c r="A12" s="84" t="s">
        <v>283</v>
      </c>
      <c r="B12" s="84" t="s">
        <v>224</v>
      </c>
      <c r="C12" s="84" t="s">
        <v>267</v>
      </c>
      <c r="D12" s="84" t="s">
        <v>285</v>
      </c>
      <c r="E12" s="125">
        <v>1144.0</v>
      </c>
      <c r="F12" s="51">
        <f t="shared" si="1"/>
        <v>70.83591331</v>
      </c>
      <c r="G12" s="125">
        <f t="shared" ref="G12:G13" si="5">G11</f>
        <v>1615</v>
      </c>
      <c r="H12" s="125" t="s">
        <v>268</v>
      </c>
      <c r="I12" s="125">
        <v>1144.0</v>
      </c>
    </row>
    <row r="13">
      <c r="A13" s="84" t="s">
        <v>283</v>
      </c>
      <c r="B13" s="84" t="s">
        <v>224</v>
      </c>
      <c r="C13" s="84" t="s">
        <v>267</v>
      </c>
      <c r="D13" s="84" t="s">
        <v>286</v>
      </c>
      <c r="E13" s="125">
        <v>88.0</v>
      </c>
      <c r="F13" s="51">
        <f t="shared" si="1"/>
        <v>5.448916409</v>
      </c>
      <c r="G13" s="125">
        <f t="shared" si="5"/>
        <v>1615</v>
      </c>
      <c r="H13" s="125" t="s">
        <v>268</v>
      </c>
      <c r="I13" s="125">
        <v>88.0</v>
      </c>
    </row>
    <row r="14">
      <c r="A14" s="84" t="s">
        <v>283</v>
      </c>
      <c r="B14" s="84" t="s">
        <v>224</v>
      </c>
      <c r="C14" s="84" t="s">
        <v>273</v>
      </c>
      <c r="D14" s="84" t="s">
        <v>284</v>
      </c>
      <c r="E14" s="125">
        <v>207.0</v>
      </c>
      <c r="F14" s="51">
        <f t="shared" si="1"/>
        <v>24.84993998</v>
      </c>
      <c r="G14" s="125">
        <f>E14+E15+E16</f>
        <v>833</v>
      </c>
      <c r="H14" s="125" t="s">
        <v>274</v>
      </c>
      <c r="I14" s="125">
        <v>207.0</v>
      </c>
    </row>
    <row r="15">
      <c r="A15" s="84" t="s">
        <v>283</v>
      </c>
      <c r="B15" s="84" t="s">
        <v>224</v>
      </c>
      <c r="C15" s="84" t="s">
        <v>273</v>
      </c>
      <c r="D15" s="84" t="s">
        <v>285</v>
      </c>
      <c r="E15" s="125">
        <v>555.0</v>
      </c>
      <c r="F15" s="51">
        <f t="shared" si="1"/>
        <v>66.62665066</v>
      </c>
      <c r="G15" s="125">
        <f t="shared" ref="G15:G16" si="6">G14</f>
        <v>833</v>
      </c>
      <c r="H15" s="125" t="s">
        <v>274</v>
      </c>
      <c r="I15" s="125">
        <v>555.0</v>
      </c>
    </row>
    <row r="16">
      <c r="A16" s="84" t="s">
        <v>283</v>
      </c>
      <c r="B16" s="84" t="s">
        <v>224</v>
      </c>
      <c r="C16" s="84" t="s">
        <v>273</v>
      </c>
      <c r="D16" s="84" t="s">
        <v>286</v>
      </c>
      <c r="E16" s="125">
        <v>71.0</v>
      </c>
      <c r="F16" s="51">
        <f t="shared" si="1"/>
        <v>8.523409364</v>
      </c>
      <c r="G16" s="125">
        <f t="shared" si="6"/>
        <v>833</v>
      </c>
      <c r="H16" s="125" t="s">
        <v>274</v>
      </c>
      <c r="I16" s="125">
        <v>71.0</v>
      </c>
    </row>
    <row r="17">
      <c r="A17" s="84" t="s">
        <v>283</v>
      </c>
      <c r="B17" s="84" t="s">
        <v>220</v>
      </c>
      <c r="C17" s="84" t="s">
        <v>105</v>
      </c>
      <c r="D17" s="84" t="s">
        <v>284</v>
      </c>
      <c r="E17" s="125">
        <v>11187.0</v>
      </c>
      <c r="F17" s="51">
        <f t="shared" si="1"/>
        <v>42.27731378</v>
      </c>
      <c r="G17" s="125">
        <f>E17+E18+E19</f>
        <v>26461</v>
      </c>
      <c r="H17" s="125" t="s">
        <v>221</v>
      </c>
      <c r="I17" s="125">
        <v>11187.0</v>
      </c>
    </row>
    <row r="18">
      <c r="A18" s="84" t="s">
        <v>283</v>
      </c>
      <c r="B18" s="84" t="s">
        <v>220</v>
      </c>
      <c r="C18" s="84" t="s">
        <v>105</v>
      </c>
      <c r="D18" s="84" t="s">
        <v>285</v>
      </c>
      <c r="E18" s="125">
        <v>7422.0</v>
      </c>
      <c r="F18" s="51">
        <f t="shared" si="1"/>
        <v>28.04882657</v>
      </c>
      <c r="G18" s="125">
        <f t="shared" ref="G18:G19" si="7">G17</f>
        <v>26461</v>
      </c>
      <c r="H18" s="125" t="s">
        <v>221</v>
      </c>
      <c r="I18" s="125">
        <v>7422.0</v>
      </c>
    </row>
    <row r="19">
      <c r="A19" s="84" t="s">
        <v>283</v>
      </c>
      <c r="B19" s="84" t="s">
        <v>220</v>
      </c>
      <c r="C19" s="84" t="s">
        <v>105</v>
      </c>
      <c r="D19" s="84" t="s">
        <v>286</v>
      </c>
      <c r="E19" s="125">
        <v>7852.0</v>
      </c>
      <c r="F19" s="51">
        <f t="shared" si="1"/>
        <v>29.67385964</v>
      </c>
      <c r="G19" s="125">
        <f t="shared" si="7"/>
        <v>26461</v>
      </c>
      <c r="H19" s="125" t="s">
        <v>221</v>
      </c>
      <c r="I19" s="125">
        <v>7852.0</v>
      </c>
    </row>
    <row r="20">
      <c r="A20" s="84" t="s">
        <v>283</v>
      </c>
      <c r="B20" s="84" t="s">
        <v>220</v>
      </c>
      <c r="C20" s="84" t="s">
        <v>222</v>
      </c>
      <c r="D20" s="84" t="s">
        <v>284</v>
      </c>
      <c r="E20" s="125">
        <v>4412.0</v>
      </c>
      <c r="F20" s="51">
        <f t="shared" si="1"/>
        <v>35.04368546</v>
      </c>
      <c r="G20" s="125">
        <f>E20+E21+E22</f>
        <v>12590</v>
      </c>
      <c r="H20" s="125" t="s">
        <v>223</v>
      </c>
      <c r="I20" s="125">
        <v>4412.0</v>
      </c>
    </row>
    <row r="21">
      <c r="A21" s="84" t="s">
        <v>283</v>
      </c>
      <c r="B21" s="84" t="s">
        <v>220</v>
      </c>
      <c r="C21" s="84" t="s">
        <v>222</v>
      </c>
      <c r="D21" s="84" t="s">
        <v>285</v>
      </c>
      <c r="E21" s="125">
        <v>6239.0</v>
      </c>
      <c r="F21" s="51">
        <f t="shared" si="1"/>
        <v>49.55520254</v>
      </c>
      <c r="G21" s="125">
        <f t="shared" ref="G21:G22" si="8">G20</f>
        <v>12590</v>
      </c>
      <c r="H21" s="125" t="s">
        <v>223</v>
      </c>
      <c r="I21" s="125">
        <v>6239.0</v>
      </c>
    </row>
    <row r="22">
      <c r="A22" s="84" t="s">
        <v>283</v>
      </c>
      <c r="B22" s="84" t="s">
        <v>220</v>
      </c>
      <c r="C22" s="84" t="s">
        <v>222</v>
      </c>
      <c r="D22" s="84" t="s">
        <v>286</v>
      </c>
      <c r="E22" s="125">
        <v>1939.0</v>
      </c>
      <c r="F22" s="51">
        <f t="shared" si="1"/>
        <v>15.40111199</v>
      </c>
      <c r="G22" s="125">
        <f t="shared" si="8"/>
        <v>12590</v>
      </c>
      <c r="H22" s="125" t="s">
        <v>223</v>
      </c>
      <c r="I22" s="125">
        <v>1939.0</v>
      </c>
    </row>
    <row r="23">
      <c r="A23" s="84" t="s">
        <v>283</v>
      </c>
      <c r="B23" s="84" t="s">
        <v>218</v>
      </c>
      <c r="C23" s="84" t="s">
        <v>8</v>
      </c>
      <c r="D23" s="84" t="s">
        <v>284</v>
      </c>
      <c r="E23" s="125">
        <v>3023.0</v>
      </c>
      <c r="F23" s="51">
        <f t="shared" si="1"/>
        <v>49.67953985</v>
      </c>
      <c r="G23" s="125">
        <f>E23+E24+E25</f>
        <v>6085</v>
      </c>
      <c r="H23" s="125" t="s">
        <v>219</v>
      </c>
      <c r="I23" s="125">
        <v>3023.0</v>
      </c>
    </row>
    <row r="24">
      <c r="A24" s="84" t="s">
        <v>283</v>
      </c>
      <c r="B24" s="84" t="s">
        <v>218</v>
      </c>
      <c r="C24" s="84" t="s">
        <v>8</v>
      </c>
      <c r="D24" s="84" t="s">
        <v>285</v>
      </c>
      <c r="E24" s="125">
        <v>1907.0</v>
      </c>
      <c r="F24" s="51">
        <f t="shared" si="1"/>
        <v>31.33935908</v>
      </c>
      <c r="G24" s="125">
        <f t="shared" ref="G24:G25" si="9">G23</f>
        <v>6085</v>
      </c>
      <c r="H24" s="125" t="s">
        <v>219</v>
      </c>
      <c r="I24" s="125">
        <v>1907.0</v>
      </c>
    </row>
    <row r="25">
      <c r="A25" s="84" t="s">
        <v>283</v>
      </c>
      <c r="B25" s="84" t="s">
        <v>218</v>
      </c>
      <c r="C25" s="84" t="s">
        <v>8</v>
      </c>
      <c r="D25" s="84" t="s">
        <v>286</v>
      </c>
      <c r="E25" s="125">
        <v>1155.0</v>
      </c>
      <c r="F25" s="51">
        <f t="shared" si="1"/>
        <v>18.98110107</v>
      </c>
      <c r="G25" s="125">
        <f t="shared" si="9"/>
        <v>6085</v>
      </c>
      <c r="H25" s="125" t="s">
        <v>219</v>
      </c>
      <c r="I25" s="125">
        <v>1155.0</v>
      </c>
    </row>
    <row r="26">
      <c r="A26" s="84" t="s">
        <v>283</v>
      </c>
      <c r="B26" s="84" t="s">
        <v>287</v>
      </c>
      <c r="C26" s="84" t="s">
        <v>206</v>
      </c>
      <c r="D26" s="84" t="s">
        <v>284</v>
      </c>
      <c r="E26" s="125">
        <v>404.0</v>
      </c>
      <c r="F26" s="51">
        <f t="shared" si="1"/>
        <v>45.90909091</v>
      </c>
      <c r="G26" s="125">
        <f>E26+E27+E28</f>
        <v>880</v>
      </c>
      <c r="H26" s="125" t="s">
        <v>207</v>
      </c>
      <c r="I26" s="125">
        <v>404.0</v>
      </c>
    </row>
    <row r="27">
      <c r="A27" s="84" t="s">
        <v>283</v>
      </c>
      <c r="B27" s="84" t="s">
        <v>287</v>
      </c>
      <c r="C27" s="84" t="s">
        <v>206</v>
      </c>
      <c r="D27" s="84" t="s">
        <v>285</v>
      </c>
      <c r="E27" s="125">
        <v>360.0</v>
      </c>
      <c r="F27" s="51">
        <f t="shared" si="1"/>
        <v>40.90909091</v>
      </c>
      <c r="G27" s="125">
        <f t="shared" ref="G27:G28" si="10">G26</f>
        <v>880</v>
      </c>
      <c r="H27" s="125" t="s">
        <v>207</v>
      </c>
      <c r="I27" s="125">
        <v>360.0</v>
      </c>
    </row>
    <row r="28">
      <c r="A28" s="84" t="s">
        <v>283</v>
      </c>
      <c r="B28" s="84" t="s">
        <v>287</v>
      </c>
      <c r="C28" s="84" t="s">
        <v>206</v>
      </c>
      <c r="D28" s="84" t="s">
        <v>286</v>
      </c>
      <c r="E28" s="125">
        <v>116.0</v>
      </c>
      <c r="F28" s="51">
        <f t="shared" si="1"/>
        <v>13.18181818</v>
      </c>
      <c r="G28" s="125">
        <f t="shared" si="10"/>
        <v>880</v>
      </c>
      <c r="H28" s="125" t="s">
        <v>207</v>
      </c>
      <c r="I28" s="125">
        <v>116.0</v>
      </c>
    </row>
    <row r="29">
      <c r="A29" s="84" t="s">
        <v>283</v>
      </c>
      <c r="B29" s="84" t="s">
        <v>287</v>
      </c>
      <c r="C29" s="84" t="s">
        <v>203</v>
      </c>
      <c r="D29" s="84" t="s">
        <v>284</v>
      </c>
      <c r="E29" s="125">
        <v>385.0</v>
      </c>
      <c r="F29" s="51">
        <f t="shared" si="1"/>
        <v>17.36580965</v>
      </c>
      <c r="G29" s="125">
        <f>E29+E30+E31</f>
        <v>2217</v>
      </c>
      <c r="H29" s="125" t="s">
        <v>203</v>
      </c>
      <c r="I29" s="125">
        <v>385.0</v>
      </c>
    </row>
    <row r="30">
      <c r="A30" s="84" t="s">
        <v>283</v>
      </c>
      <c r="B30" s="84" t="s">
        <v>287</v>
      </c>
      <c r="C30" s="84" t="s">
        <v>203</v>
      </c>
      <c r="D30" s="84" t="s">
        <v>285</v>
      </c>
      <c r="E30" s="125">
        <v>1579.0</v>
      </c>
      <c r="F30" s="51">
        <f t="shared" si="1"/>
        <v>71.22237258</v>
      </c>
      <c r="G30" s="125">
        <f t="shared" ref="G30:G31" si="11">G29</f>
        <v>2217</v>
      </c>
      <c r="H30" s="125" t="s">
        <v>203</v>
      </c>
      <c r="I30" s="125">
        <v>1579.0</v>
      </c>
    </row>
    <row r="31">
      <c r="A31" s="84" t="s">
        <v>283</v>
      </c>
      <c r="B31" s="84" t="s">
        <v>287</v>
      </c>
      <c r="C31" s="84" t="s">
        <v>203</v>
      </c>
      <c r="D31" s="84" t="s">
        <v>286</v>
      </c>
      <c r="E31" s="125">
        <v>253.0</v>
      </c>
      <c r="F31" s="51">
        <f t="shared" si="1"/>
        <v>11.41181777</v>
      </c>
      <c r="G31" s="125">
        <f t="shared" si="11"/>
        <v>2217</v>
      </c>
      <c r="H31" s="125" t="s">
        <v>203</v>
      </c>
      <c r="I31" s="125">
        <v>253.0</v>
      </c>
    </row>
    <row r="32">
      <c r="A32" s="84" t="s">
        <v>283</v>
      </c>
      <c r="B32" s="84" t="s">
        <v>287</v>
      </c>
      <c r="C32" s="84" t="s">
        <v>204</v>
      </c>
      <c r="D32" s="84" t="s">
        <v>284</v>
      </c>
      <c r="E32" s="125">
        <v>448.0</v>
      </c>
      <c r="F32" s="51">
        <f t="shared" si="1"/>
        <v>34.19847328</v>
      </c>
      <c r="G32" s="125">
        <f>E32+E33+E34</f>
        <v>1310</v>
      </c>
      <c r="H32" s="125" t="s">
        <v>205</v>
      </c>
      <c r="I32" s="125">
        <v>448.0</v>
      </c>
    </row>
    <row r="33">
      <c r="A33" s="84" t="s">
        <v>283</v>
      </c>
      <c r="B33" s="84" t="s">
        <v>287</v>
      </c>
      <c r="C33" s="84" t="s">
        <v>204</v>
      </c>
      <c r="D33" s="84" t="s">
        <v>285</v>
      </c>
      <c r="E33" s="125">
        <v>749.0</v>
      </c>
      <c r="F33" s="51">
        <f t="shared" si="1"/>
        <v>57.17557252</v>
      </c>
      <c r="G33" s="125">
        <f t="shared" ref="G33:G34" si="12">G32</f>
        <v>1310</v>
      </c>
      <c r="H33" s="125" t="s">
        <v>205</v>
      </c>
      <c r="I33" s="125">
        <v>749.0</v>
      </c>
    </row>
    <row r="34">
      <c r="A34" s="84" t="s">
        <v>283</v>
      </c>
      <c r="B34" s="84" t="s">
        <v>287</v>
      </c>
      <c r="C34" s="84" t="s">
        <v>204</v>
      </c>
      <c r="D34" s="84" t="s">
        <v>286</v>
      </c>
      <c r="E34" s="125">
        <v>113.0</v>
      </c>
      <c r="F34" s="51">
        <f t="shared" si="1"/>
        <v>8.625954198</v>
      </c>
      <c r="G34" s="125">
        <f t="shared" si="12"/>
        <v>1310</v>
      </c>
      <c r="H34" s="125" t="s">
        <v>205</v>
      </c>
      <c r="I34" s="125">
        <v>113.0</v>
      </c>
    </row>
    <row r="35">
      <c r="A35" s="84" t="s">
        <v>283</v>
      </c>
      <c r="B35" s="84" t="s">
        <v>196</v>
      </c>
      <c r="C35" s="84" t="s">
        <v>198</v>
      </c>
      <c r="D35" s="84" t="s">
        <v>284</v>
      </c>
      <c r="E35" s="125">
        <v>4714.0</v>
      </c>
      <c r="F35" s="51">
        <f t="shared" si="1"/>
        <v>57.59315822</v>
      </c>
      <c r="G35" s="125">
        <f>E35+E36+E37</f>
        <v>8185</v>
      </c>
      <c r="H35" s="125" t="s">
        <v>199</v>
      </c>
      <c r="I35" s="125">
        <v>4714.0</v>
      </c>
    </row>
    <row r="36">
      <c r="A36" s="84" t="s">
        <v>283</v>
      </c>
      <c r="B36" s="84" t="s">
        <v>196</v>
      </c>
      <c r="C36" s="84" t="s">
        <v>198</v>
      </c>
      <c r="D36" s="84" t="s">
        <v>285</v>
      </c>
      <c r="E36" s="125">
        <v>2829.0</v>
      </c>
      <c r="F36" s="51">
        <f t="shared" si="1"/>
        <v>34.56322541</v>
      </c>
      <c r="G36" s="125">
        <f t="shared" ref="G36:G37" si="13">G35</f>
        <v>8185</v>
      </c>
      <c r="H36" s="125" t="s">
        <v>199</v>
      </c>
      <c r="I36" s="125">
        <v>2829.0</v>
      </c>
    </row>
    <row r="37">
      <c r="A37" s="84" t="s">
        <v>283</v>
      </c>
      <c r="B37" s="84" t="s">
        <v>196</v>
      </c>
      <c r="C37" s="84" t="s">
        <v>198</v>
      </c>
      <c r="D37" s="84" t="s">
        <v>286</v>
      </c>
      <c r="E37" s="125">
        <v>642.0</v>
      </c>
      <c r="F37" s="51">
        <f t="shared" si="1"/>
        <v>7.843616371</v>
      </c>
      <c r="G37" s="125">
        <f t="shared" si="13"/>
        <v>8185</v>
      </c>
      <c r="H37" s="125" t="s">
        <v>199</v>
      </c>
      <c r="I37" s="125">
        <v>642.0</v>
      </c>
    </row>
    <row r="38">
      <c r="A38" s="84" t="s">
        <v>283</v>
      </c>
      <c r="B38" s="84" t="s">
        <v>196</v>
      </c>
      <c r="C38" s="84" t="s">
        <v>200</v>
      </c>
      <c r="D38" s="84" t="s">
        <v>284</v>
      </c>
      <c r="E38" s="125">
        <v>506.0</v>
      </c>
      <c r="F38" s="51">
        <f t="shared" si="1"/>
        <v>47.15750233</v>
      </c>
      <c r="G38" s="125">
        <f>E38+E39+E40</f>
        <v>1073</v>
      </c>
      <c r="H38" s="125" t="s">
        <v>201</v>
      </c>
      <c r="I38" s="125">
        <v>506.0</v>
      </c>
    </row>
    <row r="39">
      <c r="A39" s="84" t="s">
        <v>283</v>
      </c>
      <c r="B39" s="84" t="s">
        <v>196</v>
      </c>
      <c r="C39" s="84" t="s">
        <v>200</v>
      </c>
      <c r="D39" s="84" t="s">
        <v>285</v>
      </c>
      <c r="E39" s="125">
        <v>431.0</v>
      </c>
      <c r="F39" s="51">
        <f t="shared" si="1"/>
        <v>40.16775396</v>
      </c>
      <c r="G39" s="125">
        <f t="shared" ref="G39:G40" si="14">G38</f>
        <v>1073</v>
      </c>
      <c r="H39" s="125" t="s">
        <v>201</v>
      </c>
      <c r="I39" s="125">
        <v>431.0</v>
      </c>
    </row>
    <row r="40">
      <c r="A40" s="84" t="s">
        <v>283</v>
      </c>
      <c r="B40" s="84" t="s">
        <v>196</v>
      </c>
      <c r="C40" s="84" t="s">
        <v>200</v>
      </c>
      <c r="D40" s="84" t="s">
        <v>286</v>
      </c>
      <c r="E40" s="125">
        <v>136.0</v>
      </c>
      <c r="F40" s="51">
        <f t="shared" si="1"/>
        <v>12.67474371</v>
      </c>
      <c r="G40" s="125">
        <f t="shared" si="14"/>
        <v>1073</v>
      </c>
      <c r="H40" s="125" t="s">
        <v>201</v>
      </c>
      <c r="I40" s="125">
        <v>136.0</v>
      </c>
    </row>
    <row r="41">
      <c r="A41" s="84" t="s">
        <v>283</v>
      </c>
      <c r="B41" s="84" t="s">
        <v>188</v>
      </c>
      <c r="C41" s="84" t="s">
        <v>194</v>
      </c>
      <c r="D41" s="84" t="s">
        <v>284</v>
      </c>
      <c r="E41" s="125">
        <v>84.0</v>
      </c>
      <c r="F41" s="51">
        <f t="shared" si="1"/>
        <v>44.44444444</v>
      </c>
      <c r="G41" s="125">
        <f>E41+E42+E43</f>
        <v>189</v>
      </c>
      <c r="H41" s="125" t="s">
        <v>195</v>
      </c>
      <c r="I41" s="125">
        <v>84.0</v>
      </c>
    </row>
    <row r="42">
      <c r="A42" s="84" t="s">
        <v>283</v>
      </c>
      <c r="B42" s="84" t="s">
        <v>188</v>
      </c>
      <c r="C42" s="84" t="s">
        <v>194</v>
      </c>
      <c r="D42" s="84" t="s">
        <v>285</v>
      </c>
      <c r="E42" s="125">
        <v>97.0</v>
      </c>
      <c r="F42" s="51">
        <f t="shared" si="1"/>
        <v>51.32275132</v>
      </c>
      <c r="G42" s="125">
        <f t="shared" ref="G42:G43" si="15">G41</f>
        <v>189</v>
      </c>
      <c r="H42" s="125" t="s">
        <v>195</v>
      </c>
      <c r="I42" s="125">
        <v>97.0</v>
      </c>
    </row>
    <row r="43">
      <c r="A43" s="84" t="s">
        <v>283</v>
      </c>
      <c r="B43" s="84" t="s">
        <v>188</v>
      </c>
      <c r="C43" s="84" t="s">
        <v>194</v>
      </c>
      <c r="D43" s="84" t="s">
        <v>286</v>
      </c>
      <c r="E43" s="125">
        <v>8.0</v>
      </c>
      <c r="F43" s="51">
        <f t="shared" si="1"/>
        <v>4.232804233</v>
      </c>
      <c r="G43" s="125">
        <f t="shared" si="15"/>
        <v>189</v>
      </c>
      <c r="H43" s="125" t="s">
        <v>195</v>
      </c>
      <c r="I43" s="125">
        <v>8.0</v>
      </c>
    </row>
    <row r="44">
      <c r="A44" s="84" t="s">
        <v>283</v>
      </c>
      <c r="B44" s="84" t="s">
        <v>188</v>
      </c>
      <c r="C44" s="84" t="s">
        <v>190</v>
      </c>
      <c r="D44" s="84" t="s">
        <v>284</v>
      </c>
      <c r="E44" s="125">
        <v>96.0</v>
      </c>
      <c r="F44" s="51">
        <f t="shared" si="1"/>
        <v>29.90654206</v>
      </c>
      <c r="G44" s="125">
        <f>E44+E45+E46</f>
        <v>321</v>
      </c>
      <c r="H44" s="125" t="s">
        <v>191</v>
      </c>
      <c r="I44" s="125">
        <v>96.0</v>
      </c>
    </row>
    <row r="45">
      <c r="A45" s="84" t="s">
        <v>283</v>
      </c>
      <c r="B45" s="84" t="s">
        <v>188</v>
      </c>
      <c r="C45" s="84" t="s">
        <v>190</v>
      </c>
      <c r="D45" s="84" t="s">
        <v>285</v>
      </c>
      <c r="E45" s="125">
        <v>203.0</v>
      </c>
      <c r="F45" s="51">
        <f t="shared" si="1"/>
        <v>63.23987539</v>
      </c>
      <c r="G45" s="125">
        <f t="shared" ref="G45:G46" si="16">G44</f>
        <v>321</v>
      </c>
      <c r="H45" s="125" t="s">
        <v>191</v>
      </c>
      <c r="I45" s="125">
        <v>203.0</v>
      </c>
    </row>
    <row r="46">
      <c r="A46" s="84" t="s">
        <v>283</v>
      </c>
      <c r="B46" s="84" t="s">
        <v>188</v>
      </c>
      <c r="C46" s="84" t="s">
        <v>190</v>
      </c>
      <c r="D46" s="84" t="s">
        <v>286</v>
      </c>
      <c r="E46" s="125">
        <v>22.0</v>
      </c>
      <c r="F46" s="51">
        <f t="shared" si="1"/>
        <v>6.853582555</v>
      </c>
      <c r="G46" s="125">
        <f t="shared" si="16"/>
        <v>321</v>
      </c>
      <c r="H46" s="125" t="s">
        <v>191</v>
      </c>
      <c r="I46" s="125">
        <v>22.0</v>
      </c>
    </row>
    <row r="47">
      <c r="A47" s="84" t="s">
        <v>283</v>
      </c>
      <c r="B47" s="84" t="s">
        <v>188</v>
      </c>
      <c r="C47" s="84" t="s">
        <v>192</v>
      </c>
      <c r="D47" s="84" t="s">
        <v>284</v>
      </c>
      <c r="E47" s="125">
        <v>46.0</v>
      </c>
      <c r="F47" s="51">
        <f t="shared" si="1"/>
        <v>30.26315789</v>
      </c>
      <c r="G47" s="125">
        <f>E47+E48+E49</f>
        <v>152</v>
      </c>
      <c r="H47" s="125" t="s">
        <v>193</v>
      </c>
      <c r="I47" s="125">
        <v>46.0</v>
      </c>
    </row>
    <row r="48">
      <c r="A48" s="84" t="s">
        <v>283</v>
      </c>
      <c r="B48" s="84" t="s">
        <v>188</v>
      </c>
      <c r="C48" s="84" t="s">
        <v>192</v>
      </c>
      <c r="D48" s="84" t="s">
        <v>285</v>
      </c>
      <c r="E48" s="125">
        <v>92.0</v>
      </c>
      <c r="F48" s="51">
        <f t="shared" si="1"/>
        <v>60.52631579</v>
      </c>
      <c r="G48" s="125">
        <f t="shared" ref="G48:G49" si="17">G47</f>
        <v>152</v>
      </c>
      <c r="H48" s="125" t="s">
        <v>193</v>
      </c>
      <c r="I48" s="125">
        <v>92.0</v>
      </c>
    </row>
    <row r="49">
      <c r="A49" s="84" t="s">
        <v>283</v>
      </c>
      <c r="B49" s="84" t="s">
        <v>188</v>
      </c>
      <c r="C49" s="84" t="s">
        <v>192</v>
      </c>
      <c r="D49" s="84" t="s">
        <v>286</v>
      </c>
      <c r="E49" s="125">
        <v>14.0</v>
      </c>
      <c r="F49" s="51">
        <f t="shared" si="1"/>
        <v>9.210526316</v>
      </c>
      <c r="G49" s="125">
        <f t="shared" si="17"/>
        <v>152</v>
      </c>
      <c r="H49" s="125" t="s">
        <v>193</v>
      </c>
      <c r="I49" s="125">
        <v>14.0</v>
      </c>
    </row>
    <row r="50">
      <c r="A50" s="84" t="s">
        <v>283</v>
      </c>
      <c r="B50" s="84" t="s">
        <v>182</v>
      </c>
      <c r="C50" s="84" t="s">
        <v>186</v>
      </c>
      <c r="D50" s="84" t="s">
        <v>284</v>
      </c>
      <c r="E50" s="125">
        <v>94.0</v>
      </c>
      <c r="F50" s="51">
        <f t="shared" si="1"/>
        <v>51.93370166</v>
      </c>
      <c r="G50" s="125">
        <f>E50+E51+E52</f>
        <v>181</v>
      </c>
      <c r="H50" s="125" t="s">
        <v>187</v>
      </c>
      <c r="I50" s="125">
        <v>94.0</v>
      </c>
    </row>
    <row r="51">
      <c r="A51" s="84" t="s">
        <v>283</v>
      </c>
      <c r="B51" s="84" t="s">
        <v>182</v>
      </c>
      <c r="C51" s="84" t="s">
        <v>186</v>
      </c>
      <c r="D51" s="84" t="s">
        <v>285</v>
      </c>
      <c r="E51" s="125">
        <v>56.0</v>
      </c>
      <c r="F51" s="51">
        <f t="shared" si="1"/>
        <v>30.93922652</v>
      </c>
      <c r="G51" s="125">
        <f t="shared" ref="G51:G52" si="18">G50</f>
        <v>181</v>
      </c>
      <c r="H51" s="125" t="s">
        <v>187</v>
      </c>
      <c r="I51" s="125">
        <v>56.0</v>
      </c>
    </row>
    <row r="52">
      <c r="A52" s="84" t="s">
        <v>283</v>
      </c>
      <c r="B52" s="84" t="s">
        <v>182</v>
      </c>
      <c r="C52" s="84" t="s">
        <v>186</v>
      </c>
      <c r="D52" s="84" t="s">
        <v>286</v>
      </c>
      <c r="E52" s="125">
        <v>31.0</v>
      </c>
      <c r="F52" s="51">
        <f t="shared" si="1"/>
        <v>17.12707182</v>
      </c>
      <c r="G52" s="125">
        <f t="shared" si="18"/>
        <v>181</v>
      </c>
      <c r="H52" s="125" t="s">
        <v>187</v>
      </c>
      <c r="I52" s="125">
        <v>31.0</v>
      </c>
    </row>
    <row r="53">
      <c r="A53" s="84" t="s">
        <v>283</v>
      </c>
      <c r="B53" s="84" t="s">
        <v>182</v>
      </c>
      <c r="C53" s="84" t="s">
        <v>184</v>
      </c>
      <c r="D53" s="84" t="s">
        <v>284</v>
      </c>
      <c r="E53" s="125">
        <v>130.0</v>
      </c>
      <c r="F53" s="51">
        <f t="shared" si="1"/>
        <v>29.95391705</v>
      </c>
      <c r="G53" s="125">
        <f>E53+E54+E55</f>
        <v>434</v>
      </c>
      <c r="H53" s="125" t="s">
        <v>185</v>
      </c>
      <c r="I53" s="125">
        <v>130.0</v>
      </c>
    </row>
    <row r="54">
      <c r="A54" s="84" t="s">
        <v>283</v>
      </c>
      <c r="B54" s="84" t="s">
        <v>182</v>
      </c>
      <c r="C54" s="84" t="s">
        <v>184</v>
      </c>
      <c r="D54" s="84" t="s">
        <v>285</v>
      </c>
      <c r="E54" s="125">
        <v>268.0</v>
      </c>
      <c r="F54" s="51">
        <f t="shared" si="1"/>
        <v>61.75115207</v>
      </c>
      <c r="G54" s="125">
        <f t="shared" ref="G54:G55" si="19">G53</f>
        <v>434</v>
      </c>
      <c r="H54" s="125" t="s">
        <v>185</v>
      </c>
      <c r="I54" s="125">
        <v>268.0</v>
      </c>
    </row>
    <row r="55">
      <c r="A55" s="84" t="s">
        <v>283</v>
      </c>
      <c r="B55" s="84" t="s">
        <v>182</v>
      </c>
      <c r="C55" s="84" t="s">
        <v>184</v>
      </c>
      <c r="D55" s="84" t="s">
        <v>286</v>
      </c>
      <c r="E55" s="125">
        <v>36.0</v>
      </c>
      <c r="F55" s="51">
        <f t="shared" si="1"/>
        <v>8.294930876</v>
      </c>
      <c r="G55" s="125">
        <f t="shared" si="19"/>
        <v>434</v>
      </c>
      <c r="H55" s="125" t="s">
        <v>185</v>
      </c>
      <c r="I55" s="125">
        <v>36.0</v>
      </c>
    </row>
    <row r="56">
      <c r="A56" s="84" t="s">
        <v>283</v>
      </c>
      <c r="B56" s="84" t="s">
        <v>5</v>
      </c>
      <c r="C56" s="84" t="s">
        <v>104</v>
      </c>
      <c r="D56" s="84" t="s">
        <v>284</v>
      </c>
      <c r="E56" s="126">
        <f t="shared" ref="E56:E61" si="20">E128+E149</f>
        <v>1262</v>
      </c>
      <c r="F56" s="51">
        <f t="shared" si="1"/>
        <v>29.26716141</v>
      </c>
      <c r="G56" s="125">
        <f>E56+E57+E58</f>
        <v>4312</v>
      </c>
      <c r="H56" s="125" t="s">
        <v>160</v>
      </c>
      <c r="I56" s="126"/>
    </row>
    <row r="57">
      <c r="A57" s="84" t="s">
        <v>283</v>
      </c>
      <c r="B57" s="84" t="s">
        <v>5</v>
      </c>
      <c r="C57" s="84" t="s">
        <v>104</v>
      </c>
      <c r="D57" s="84" t="s">
        <v>285</v>
      </c>
      <c r="E57" s="126">
        <f t="shared" si="20"/>
        <v>2619</v>
      </c>
      <c r="F57" s="51">
        <f t="shared" si="1"/>
        <v>60.73747681</v>
      </c>
      <c r="G57" s="125">
        <f t="shared" ref="G57:G58" si="21">G56</f>
        <v>4312</v>
      </c>
      <c r="H57" s="125" t="s">
        <v>160</v>
      </c>
      <c r="I57" s="126"/>
    </row>
    <row r="58">
      <c r="A58" s="84" t="s">
        <v>283</v>
      </c>
      <c r="B58" s="84" t="s">
        <v>5</v>
      </c>
      <c r="C58" s="84" t="s">
        <v>104</v>
      </c>
      <c r="D58" s="84" t="s">
        <v>286</v>
      </c>
      <c r="E58" s="126">
        <f t="shared" si="20"/>
        <v>431</v>
      </c>
      <c r="F58" s="51">
        <f t="shared" si="1"/>
        <v>9.995361781</v>
      </c>
      <c r="G58" s="125">
        <f t="shared" si="21"/>
        <v>4312</v>
      </c>
      <c r="H58" s="125" t="s">
        <v>160</v>
      </c>
      <c r="I58" s="126"/>
    </row>
    <row r="59">
      <c r="A59" s="84" t="s">
        <v>283</v>
      </c>
      <c r="B59" s="84" t="s">
        <v>5</v>
      </c>
      <c r="C59" s="84" t="s">
        <v>162</v>
      </c>
      <c r="D59" s="84" t="s">
        <v>284</v>
      </c>
      <c r="E59" s="126">
        <f t="shared" si="20"/>
        <v>1088</v>
      </c>
      <c r="F59" s="51">
        <f t="shared" si="1"/>
        <v>60.37735849</v>
      </c>
      <c r="G59" s="125">
        <f>E59+E60+E61</f>
        <v>1802</v>
      </c>
      <c r="H59" s="125" t="s">
        <v>163</v>
      </c>
      <c r="I59" s="126"/>
    </row>
    <row r="60">
      <c r="A60" s="84" t="s">
        <v>283</v>
      </c>
      <c r="B60" s="84" t="s">
        <v>5</v>
      </c>
      <c r="C60" s="84" t="s">
        <v>162</v>
      </c>
      <c r="D60" s="84" t="s">
        <v>285</v>
      </c>
      <c r="E60" s="126">
        <f t="shared" si="20"/>
        <v>393</v>
      </c>
      <c r="F60" s="51">
        <f t="shared" si="1"/>
        <v>21.809101</v>
      </c>
      <c r="G60" s="125">
        <f t="shared" ref="G60:G61" si="22">G59</f>
        <v>1802</v>
      </c>
      <c r="H60" s="125" t="s">
        <v>163</v>
      </c>
      <c r="I60" s="126"/>
    </row>
    <row r="61">
      <c r="A61" s="84" t="s">
        <v>283</v>
      </c>
      <c r="B61" s="84" t="s">
        <v>5</v>
      </c>
      <c r="C61" s="84" t="s">
        <v>162</v>
      </c>
      <c r="D61" s="84" t="s">
        <v>286</v>
      </c>
      <c r="E61" s="126">
        <f t="shared" si="20"/>
        <v>321</v>
      </c>
      <c r="F61" s="51">
        <f t="shared" si="1"/>
        <v>17.81354051</v>
      </c>
      <c r="G61" s="125">
        <f t="shared" si="22"/>
        <v>1802</v>
      </c>
      <c r="H61" s="125" t="s">
        <v>163</v>
      </c>
      <c r="I61" s="126"/>
    </row>
    <row r="62">
      <c r="A62" s="84" t="s">
        <v>283</v>
      </c>
      <c r="B62" s="84" t="s">
        <v>178</v>
      </c>
      <c r="C62" s="84" t="s">
        <v>180</v>
      </c>
      <c r="D62" s="84" t="s">
        <v>284</v>
      </c>
      <c r="E62" s="125">
        <v>278.0</v>
      </c>
      <c r="F62" s="51">
        <f t="shared" si="1"/>
        <v>52.2556391</v>
      </c>
      <c r="G62" s="125">
        <f>E62+E63+E64</f>
        <v>532</v>
      </c>
      <c r="H62" s="125" t="s">
        <v>181</v>
      </c>
      <c r="I62" s="125">
        <v>278.0</v>
      </c>
    </row>
    <row r="63">
      <c r="A63" s="84" t="s">
        <v>283</v>
      </c>
      <c r="B63" s="84" t="s">
        <v>178</v>
      </c>
      <c r="C63" s="84" t="s">
        <v>180</v>
      </c>
      <c r="D63" s="84" t="s">
        <v>285</v>
      </c>
      <c r="E63" s="125">
        <v>187.0</v>
      </c>
      <c r="F63" s="51">
        <f t="shared" si="1"/>
        <v>35.15037594</v>
      </c>
      <c r="G63" s="125">
        <f t="shared" ref="G63:G64" si="23">G62</f>
        <v>532</v>
      </c>
      <c r="H63" s="125" t="s">
        <v>181</v>
      </c>
      <c r="I63" s="125">
        <v>187.0</v>
      </c>
    </row>
    <row r="64">
      <c r="A64" s="84" t="s">
        <v>283</v>
      </c>
      <c r="B64" s="84" t="s">
        <v>178</v>
      </c>
      <c r="C64" s="84" t="s">
        <v>180</v>
      </c>
      <c r="D64" s="84" t="s">
        <v>286</v>
      </c>
      <c r="E64" s="125">
        <v>67.0</v>
      </c>
      <c r="F64" s="51">
        <f t="shared" si="1"/>
        <v>12.59398496</v>
      </c>
      <c r="G64" s="125">
        <f t="shared" si="23"/>
        <v>532</v>
      </c>
      <c r="H64" s="125" t="s">
        <v>181</v>
      </c>
      <c r="I64" s="125">
        <v>67.0</v>
      </c>
    </row>
    <row r="65">
      <c r="A65" s="84" t="s">
        <v>283</v>
      </c>
      <c r="B65" s="84" t="s">
        <v>174</v>
      </c>
      <c r="C65" s="84" t="s">
        <v>176</v>
      </c>
      <c r="D65" s="84" t="s">
        <v>284</v>
      </c>
      <c r="E65" s="125">
        <v>34.0</v>
      </c>
      <c r="F65" s="51">
        <f t="shared" si="1"/>
        <v>7.852193995</v>
      </c>
      <c r="G65" s="125">
        <f>E65+E66+E67</f>
        <v>433</v>
      </c>
      <c r="H65" s="125" t="s">
        <v>177</v>
      </c>
      <c r="I65" s="125">
        <v>34.0</v>
      </c>
    </row>
    <row r="66">
      <c r="A66" s="84" t="s">
        <v>283</v>
      </c>
      <c r="B66" s="84" t="s">
        <v>174</v>
      </c>
      <c r="C66" s="84" t="s">
        <v>176</v>
      </c>
      <c r="D66" s="84" t="s">
        <v>285</v>
      </c>
      <c r="E66" s="125">
        <v>389.0</v>
      </c>
      <c r="F66" s="51">
        <f t="shared" si="1"/>
        <v>89.83833718</v>
      </c>
      <c r="G66" s="125">
        <f t="shared" ref="G66:G67" si="24">G65</f>
        <v>433</v>
      </c>
      <c r="H66" s="125" t="s">
        <v>177</v>
      </c>
      <c r="I66" s="125">
        <v>389.0</v>
      </c>
    </row>
    <row r="67">
      <c r="A67" s="84" t="s">
        <v>283</v>
      </c>
      <c r="B67" s="84" t="s">
        <v>174</v>
      </c>
      <c r="C67" s="84" t="s">
        <v>176</v>
      </c>
      <c r="D67" s="84" t="s">
        <v>286</v>
      </c>
      <c r="E67" s="125">
        <v>10.0</v>
      </c>
      <c r="F67" s="51">
        <f t="shared" si="1"/>
        <v>2.309468822</v>
      </c>
      <c r="G67" s="125">
        <f t="shared" si="24"/>
        <v>433</v>
      </c>
      <c r="H67" s="125" t="s">
        <v>177</v>
      </c>
      <c r="I67" s="125">
        <v>10.0</v>
      </c>
    </row>
    <row r="68">
      <c r="A68" s="84" t="s">
        <v>283</v>
      </c>
      <c r="B68" s="84" t="s">
        <v>170</v>
      </c>
      <c r="C68" s="84" t="s">
        <v>172</v>
      </c>
      <c r="D68" s="84" t="s">
        <v>284</v>
      </c>
      <c r="E68" s="125">
        <v>114.0</v>
      </c>
      <c r="F68" s="51">
        <f t="shared" si="1"/>
        <v>10.89866157</v>
      </c>
      <c r="G68" s="125">
        <f>E68+E69+E70</f>
        <v>1046</v>
      </c>
      <c r="H68" s="125" t="s">
        <v>173</v>
      </c>
      <c r="I68" s="125">
        <v>114.0</v>
      </c>
    </row>
    <row r="69">
      <c r="A69" s="84" t="s">
        <v>283</v>
      </c>
      <c r="B69" s="84" t="s">
        <v>170</v>
      </c>
      <c r="C69" s="84" t="s">
        <v>172</v>
      </c>
      <c r="D69" s="84" t="s">
        <v>285</v>
      </c>
      <c r="E69" s="125">
        <v>916.0</v>
      </c>
      <c r="F69" s="51">
        <f t="shared" si="1"/>
        <v>87.57170172</v>
      </c>
      <c r="G69" s="125">
        <f t="shared" ref="G69:G70" si="25">G68</f>
        <v>1046</v>
      </c>
      <c r="H69" s="125" t="s">
        <v>173</v>
      </c>
      <c r="I69" s="125">
        <v>916.0</v>
      </c>
    </row>
    <row r="70">
      <c r="A70" s="84" t="s">
        <v>283</v>
      </c>
      <c r="B70" s="84" t="s">
        <v>170</v>
      </c>
      <c r="C70" s="84" t="s">
        <v>172</v>
      </c>
      <c r="D70" s="84" t="s">
        <v>286</v>
      </c>
      <c r="E70" s="125">
        <v>16.0</v>
      </c>
      <c r="F70" s="51">
        <f t="shared" si="1"/>
        <v>1.529636711</v>
      </c>
      <c r="G70" s="125">
        <f t="shared" si="25"/>
        <v>1046</v>
      </c>
      <c r="H70" s="125" t="s">
        <v>173</v>
      </c>
      <c r="I70" s="125">
        <v>16.0</v>
      </c>
    </row>
    <row r="71">
      <c r="A71" s="84" t="s">
        <v>283</v>
      </c>
      <c r="B71" s="84" t="s">
        <v>164</v>
      </c>
      <c r="C71" s="84" t="s">
        <v>166</v>
      </c>
      <c r="D71" s="84" t="s">
        <v>284</v>
      </c>
      <c r="E71" s="125">
        <f t="shared" ref="E71:E76" si="26">E143</f>
        <v>375</v>
      </c>
      <c r="F71" s="51">
        <f t="shared" si="1"/>
        <v>39.51527924</v>
      </c>
      <c r="G71" s="125">
        <f>E71+E72+E73</f>
        <v>949</v>
      </c>
      <c r="H71" s="125" t="s">
        <v>167</v>
      </c>
      <c r="I71" s="125"/>
    </row>
    <row r="72">
      <c r="A72" s="84" t="s">
        <v>283</v>
      </c>
      <c r="B72" s="84" t="s">
        <v>164</v>
      </c>
      <c r="C72" s="84" t="s">
        <v>166</v>
      </c>
      <c r="D72" s="84" t="s">
        <v>285</v>
      </c>
      <c r="E72" s="125">
        <f t="shared" si="26"/>
        <v>502</v>
      </c>
      <c r="F72" s="51">
        <f t="shared" si="1"/>
        <v>52.89778714</v>
      </c>
      <c r="G72" s="125">
        <f t="shared" ref="G72:G73" si="27">G71</f>
        <v>949</v>
      </c>
      <c r="H72" s="125" t="s">
        <v>167</v>
      </c>
      <c r="I72" s="125"/>
    </row>
    <row r="73">
      <c r="A73" s="84" t="s">
        <v>283</v>
      </c>
      <c r="B73" s="84" t="s">
        <v>164</v>
      </c>
      <c r="C73" s="84" t="s">
        <v>166</v>
      </c>
      <c r="D73" s="84" t="s">
        <v>286</v>
      </c>
      <c r="E73" s="125">
        <f t="shared" si="26"/>
        <v>72</v>
      </c>
      <c r="F73" s="51">
        <f t="shared" si="1"/>
        <v>7.586933614</v>
      </c>
      <c r="G73" s="125">
        <f t="shared" si="27"/>
        <v>949</v>
      </c>
      <c r="H73" s="125" t="s">
        <v>167</v>
      </c>
      <c r="I73" s="125"/>
    </row>
    <row r="74">
      <c r="A74" s="84" t="s">
        <v>283</v>
      </c>
      <c r="B74" s="84" t="s">
        <v>164</v>
      </c>
      <c r="C74" s="84" t="s">
        <v>168</v>
      </c>
      <c r="D74" s="84" t="s">
        <v>284</v>
      </c>
      <c r="E74" s="125">
        <f t="shared" si="26"/>
        <v>201</v>
      </c>
      <c r="F74" s="51">
        <f t="shared" si="1"/>
        <v>74.72118959</v>
      </c>
      <c r="G74" s="125">
        <f>E74+E75+E76</f>
        <v>269</v>
      </c>
      <c r="H74" s="125" t="s">
        <v>169</v>
      </c>
      <c r="I74" s="125"/>
    </row>
    <row r="75">
      <c r="A75" s="84" t="s">
        <v>283</v>
      </c>
      <c r="B75" s="84" t="s">
        <v>164</v>
      </c>
      <c r="C75" s="84" t="s">
        <v>168</v>
      </c>
      <c r="D75" s="84" t="s">
        <v>285</v>
      </c>
      <c r="E75" s="125">
        <f t="shared" si="26"/>
        <v>40</v>
      </c>
      <c r="F75" s="51">
        <f t="shared" si="1"/>
        <v>14.86988848</v>
      </c>
      <c r="G75" s="125">
        <f t="shared" ref="G75:G76" si="28">G74</f>
        <v>269</v>
      </c>
      <c r="H75" s="125" t="s">
        <v>169</v>
      </c>
      <c r="I75" s="125"/>
    </row>
    <row r="76">
      <c r="A76" s="84" t="s">
        <v>283</v>
      </c>
      <c r="B76" s="84" t="s">
        <v>164</v>
      </c>
      <c r="C76" s="84" t="s">
        <v>168</v>
      </c>
      <c r="D76" s="84" t="s">
        <v>286</v>
      </c>
      <c r="E76" s="125">
        <f t="shared" si="26"/>
        <v>28</v>
      </c>
      <c r="F76" s="51">
        <f t="shared" si="1"/>
        <v>10.40892193</v>
      </c>
      <c r="G76" s="125">
        <f t="shared" si="28"/>
        <v>269</v>
      </c>
      <c r="H76" s="125" t="s">
        <v>169</v>
      </c>
      <c r="I76" s="125"/>
    </row>
    <row r="77">
      <c r="A77" s="84" t="s">
        <v>283</v>
      </c>
      <c r="B77" s="84" t="s">
        <v>288</v>
      </c>
      <c r="C77" s="84" t="s">
        <v>210</v>
      </c>
      <c r="D77" s="84" t="s">
        <v>284</v>
      </c>
      <c r="E77" s="125">
        <v>850.0</v>
      </c>
      <c r="F77" s="51">
        <f t="shared" si="1"/>
        <v>31.49314561</v>
      </c>
      <c r="G77" s="125">
        <f>E77+E78+E79</f>
        <v>2699</v>
      </c>
      <c r="H77" s="125" t="s">
        <v>211</v>
      </c>
      <c r="I77" s="125">
        <v>850.0</v>
      </c>
    </row>
    <row r="78">
      <c r="A78" s="84" t="s">
        <v>283</v>
      </c>
      <c r="B78" s="84" t="s">
        <v>288</v>
      </c>
      <c r="C78" s="84" t="s">
        <v>210</v>
      </c>
      <c r="D78" s="84" t="s">
        <v>285</v>
      </c>
      <c r="E78" s="125">
        <v>1627.0</v>
      </c>
      <c r="F78" s="51">
        <f t="shared" si="1"/>
        <v>60.28158577</v>
      </c>
      <c r="G78" s="125">
        <f t="shared" ref="G78:G79" si="29">G77</f>
        <v>2699</v>
      </c>
      <c r="H78" s="125" t="s">
        <v>211</v>
      </c>
      <c r="I78" s="125">
        <v>1627.0</v>
      </c>
    </row>
    <row r="79">
      <c r="A79" s="84" t="s">
        <v>283</v>
      </c>
      <c r="B79" s="84" t="s">
        <v>288</v>
      </c>
      <c r="C79" s="84" t="s">
        <v>210</v>
      </c>
      <c r="D79" s="84" t="s">
        <v>286</v>
      </c>
      <c r="E79" s="125">
        <v>222.0</v>
      </c>
      <c r="F79" s="51">
        <f t="shared" si="1"/>
        <v>8.225268618</v>
      </c>
      <c r="G79" s="125">
        <f t="shared" si="29"/>
        <v>2699</v>
      </c>
      <c r="H79" s="125" t="s">
        <v>211</v>
      </c>
      <c r="I79" s="125">
        <v>222.0</v>
      </c>
    </row>
    <row r="80">
      <c r="A80" s="84" t="s">
        <v>283</v>
      </c>
      <c r="B80" s="84" t="s">
        <v>288</v>
      </c>
      <c r="C80" s="84" t="s">
        <v>3</v>
      </c>
      <c r="D80" s="84" t="s">
        <v>284</v>
      </c>
      <c r="E80" s="125">
        <v>2938.0</v>
      </c>
      <c r="F80" s="51">
        <f t="shared" si="1"/>
        <v>36.01814393</v>
      </c>
      <c r="G80" s="125">
        <f>E80+E81+E82</f>
        <v>8157</v>
      </c>
      <c r="H80" s="125" t="s">
        <v>213</v>
      </c>
      <c r="I80" s="125">
        <v>2938.0</v>
      </c>
    </row>
    <row r="81">
      <c r="A81" s="84" t="s">
        <v>283</v>
      </c>
      <c r="B81" s="84" t="s">
        <v>288</v>
      </c>
      <c r="C81" s="84" t="s">
        <v>3</v>
      </c>
      <c r="D81" s="84" t="s">
        <v>285</v>
      </c>
      <c r="E81" s="125">
        <v>3609.0</v>
      </c>
      <c r="F81" s="51">
        <f t="shared" si="1"/>
        <v>44.24420743</v>
      </c>
      <c r="G81" s="125">
        <f t="shared" ref="G81:G82" si="30">G80</f>
        <v>8157</v>
      </c>
      <c r="H81" s="125" t="s">
        <v>213</v>
      </c>
      <c r="I81" s="125">
        <v>3609.0</v>
      </c>
    </row>
    <row r="82">
      <c r="A82" s="84" t="s">
        <v>283</v>
      </c>
      <c r="B82" s="84" t="s">
        <v>288</v>
      </c>
      <c r="C82" s="84" t="s">
        <v>3</v>
      </c>
      <c r="D82" s="84" t="s">
        <v>286</v>
      </c>
      <c r="E82" s="125">
        <v>1610.0</v>
      </c>
      <c r="F82" s="51">
        <f t="shared" si="1"/>
        <v>19.73764865</v>
      </c>
      <c r="G82" s="125">
        <f t="shared" si="30"/>
        <v>8157</v>
      </c>
      <c r="H82" s="125" t="s">
        <v>213</v>
      </c>
      <c r="I82" s="125">
        <v>1610.0</v>
      </c>
    </row>
    <row r="83">
      <c r="A83" s="84" t="s">
        <v>283</v>
      </c>
      <c r="B83" s="84" t="s">
        <v>288</v>
      </c>
      <c r="C83" s="84" t="s">
        <v>216</v>
      </c>
      <c r="D83" s="84" t="s">
        <v>284</v>
      </c>
      <c r="E83" s="125">
        <v>102.0</v>
      </c>
      <c r="F83" s="51">
        <f t="shared" si="1"/>
        <v>36.42857143</v>
      </c>
      <c r="G83" s="125">
        <f>E83+E84+E85</f>
        <v>280</v>
      </c>
      <c r="H83" s="125" t="s">
        <v>217</v>
      </c>
      <c r="I83" s="125">
        <v>102.0</v>
      </c>
    </row>
    <row r="84">
      <c r="A84" s="84" t="s">
        <v>283</v>
      </c>
      <c r="B84" s="84" t="s">
        <v>288</v>
      </c>
      <c r="C84" s="84" t="s">
        <v>216</v>
      </c>
      <c r="D84" s="84" t="s">
        <v>285</v>
      </c>
      <c r="E84" s="125">
        <v>160.0</v>
      </c>
      <c r="F84" s="51">
        <f t="shared" si="1"/>
        <v>57.14285714</v>
      </c>
      <c r="G84" s="125">
        <f t="shared" ref="G84:G85" si="31">G83</f>
        <v>280</v>
      </c>
      <c r="H84" s="125" t="s">
        <v>217</v>
      </c>
      <c r="I84" s="125">
        <v>160.0</v>
      </c>
    </row>
    <row r="85">
      <c r="A85" s="84" t="s">
        <v>283</v>
      </c>
      <c r="B85" s="84" t="s">
        <v>288</v>
      </c>
      <c r="C85" s="84" t="s">
        <v>216</v>
      </c>
      <c r="D85" s="84" t="s">
        <v>286</v>
      </c>
      <c r="E85" s="125">
        <v>18.0</v>
      </c>
      <c r="F85" s="51">
        <f t="shared" si="1"/>
        <v>6.428571429</v>
      </c>
      <c r="G85" s="125">
        <f t="shared" si="31"/>
        <v>280</v>
      </c>
      <c r="H85" s="125" t="s">
        <v>217</v>
      </c>
      <c r="I85" s="125">
        <v>18.0</v>
      </c>
    </row>
    <row r="86">
      <c r="A86" s="84" t="s">
        <v>283</v>
      </c>
      <c r="B86" s="84" t="s">
        <v>288</v>
      </c>
      <c r="C86" s="84" t="s">
        <v>106</v>
      </c>
      <c r="D86" s="84" t="s">
        <v>284</v>
      </c>
      <c r="E86" s="125">
        <v>371.0</v>
      </c>
      <c r="F86" s="51">
        <f t="shared" si="1"/>
        <v>14.69306931</v>
      </c>
      <c r="G86" s="125">
        <f>E86+E87+E88</f>
        <v>2525</v>
      </c>
      <c r="H86" s="125" t="s">
        <v>214</v>
      </c>
      <c r="I86" s="125">
        <v>371.0</v>
      </c>
    </row>
    <row r="87">
      <c r="A87" s="84" t="s">
        <v>283</v>
      </c>
      <c r="B87" s="84" t="s">
        <v>288</v>
      </c>
      <c r="C87" s="84" t="s">
        <v>106</v>
      </c>
      <c r="D87" s="84" t="s">
        <v>285</v>
      </c>
      <c r="E87" s="125">
        <v>2044.0</v>
      </c>
      <c r="F87" s="51">
        <f t="shared" si="1"/>
        <v>80.95049505</v>
      </c>
      <c r="G87" s="125">
        <f t="shared" ref="G87:G88" si="32">G86</f>
        <v>2525</v>
      </c>
      <c r="H87" s="125" t="s">
        <v>214</v>
      </c>
      <c r="I87" s="125">
        <v>2044.0</v>
      </c>
    </row>
    <row r="88">
      <c r="A88" s="84" t="s">
        <v>283</v>
      </c>
      <c r="B88" s="84" t="s">
        <v>288</v>
      </c>
      <c r="C88" s="84" t="s">
        <v>106</v>
      </c>
      <c r="D88" s="84" t="s">
        <v>286</v>
      </c>
      <c r="E88" s="125">
        <v>110.0</v>
      </c>
      <c r="F88" s="51">
        <f t="shared" si="1"/>
        <v>4.356435644</v>
      </c>
      <c r="G88" s="125">
        <f t="shared" si="32"/>
        <v>2525</v>
      </c>
      <c r="H88" s="125" t="s">
        <v>214</v>
      </c>
      <c r="I88" s="125">
        <v>110.0</v>
      </c>
    </row>
    <row r="89">
      <c r="A89" s="84" t="s">
        <v>289</v>
      </c>
      <c r="B89" s="84" t="s">
        <v>99</v>
      </c>
      <c r="C89" s="84" t="s">
        <v>105</v>
      </c>
      <c r="D89" s="84" t="s">
        <v>284</v>
      </c>
      <c r="E89" s="125">
        <v>11187.0</v>
      </c>
      <c r="F89" s="51">
        <f t="shared" si="1"/>
        <v>42.27731378</v>
      </c>
      <c r="G89" s="125">
        <f>E89+E90+E91</f>
        <v>26461</v>
      </c>
      <c r="H89" s="125" t="s">
        <v>221</v>
      </c>
      <c r="I89" s="125">
        <v>11187.0</v>
      </c>
    </row>
    <row r="90">
      <c r="A90" s="84" t="s">
        <v>289</v>
      </c>
      <c r="B90" s="84" t="s">
        <v>99</v>
      </c>
      <c r="C90" s="84" t="s">
        <v>105</v>
      </c>
      <c r="D90" s="84" t="s">
        <v>285</v>
      </c>
      <c r="E90" s="125">
        <v>7422.0</v>
      </c>
      <c r="F90" s="51">
        <f t="shared" si="1"/>
        <v>28.04882657</v>
      </c>
      <c r="G90" s="125">
        <f t="shared" ref="G90:G91" si="33">G89</f>
        <v>26461</v>
      </c>
      <c r="H90" s="125" t="s">
        <v>221</v>
      </c>
      <c r="I90" s="125">
        <v>7422.0</v>
      </c>
    </row>
    <row r="91">
      <c r="A91" s="84" t="s">
        <v>289</v>
      </c>
      <c r="B91" s="84" t="s">
        <v>99</v>
      </c>
      <c r="C91" s="84" t="s">
        <v>105</v>
      </c>
      <c r="D91" s="84" t="s">
        <v>286</v>
      </c>
      <c r="E91" s="125">
        <v>7852.0</v>
      </c>
      <c r="F91" s="51">
        <f t="shared" si="1"/>
        <v>29.67385964</v>
      </c>
      <c r="G91" s="125">
        <f t="shared" si="33"/>
        <v>26461</v>
      </c>
      <c r="H91" s="125" t="s">
        <v>221</v>
      </c>
      <c r="I91" s="125">
        <v>7852.0</v>
      </c>
    </row>
    <row r="92">
      <c r="A92" s="84" t="s">
        <v>289</v>
      </c>
      <c r="B92" s="84" t="s">
        <v>99</v>
      </c>
      <c r="C92" s="84" t="s">
        <v>222</v>
      </c>
      <c r="D92" s="84" t="s">
        <v>284</v>
      </c>
      <c r="E92" s="125">
        <v>4412.0</v>
      </c>
      <c r="F92" s="51">
        <f t="shared" si="1"/>
        <v>35.04368546</v>
      </c>
      <c r="G92" s="125">
        <f>E92+E93+E94</f>
        <v>12590</v>
      </c>
      <c r="H92" s="125" t="s">
        <v>223</v>
      </c>
      <c r="I92" s="125">
        <v>4412.0</v>
      </c>
    </row>
    <row r="93">
      <c r="A93" s="84" t="s">
        <v>289</v>
      </c>
      <c r="B93" s="84" t="s">
        <v>99</v>
      </c>
      <c r="C93" s="84" t="s">
        <v>222</v>
      </c>
      <c r="D93" s="84" t="s">
        <v>285</v>
      </c>
      <c r="E93" s="125">
        <v>6239.0</v>
      </c>
      <c r="F93" s="51">
        <f t="shared" si="1"/>
        <v>49.55520254</v>
      </c>
      <c r="G93" s="125">
        <f t="shared" ref="G93:G94" si="34">G92</f>
        <v>12590</v>
      </c>
      <c r="H93" s="125" t="s">
        <v>223</v>
      </c>
      <c r="I93" s="125">
        <v>6239.0</v>
      </c>
    </row>
    <row r="94">
      <c r="A94" s="84" t="s">
        <v>289</v>
      </c>
      <c r="B94" s="84" t="s">
        <v>99</v>
      </c>
      <c r="C94" s="84" t="s">
        <v>222</v>
      </c>
      <c r="D94" s="84" t="s">
        <v>286</v>
      </c>
      <c r="E94" s="125">
        <v>1939.0</v>
      </c>
      <c r="F94" s="51">
        <f t="shared" si="1"/>
        <v>15.40111199</v>
      </c>
      <c r="G94" s="125">
        <f t="shared" si="34"/>
        <v>12590</v>
      </c>
      <c r="H94" s="125" t="s">
        <v>223</v>
      </c>
      <c r="I94" s="125">
        <v>1939.0</v>
      </c>
    </row>
    <row r="95">
      <c r="A95" s="84" t="s">
        <v>289</v>
      </c>
      <c r="B95" s="84" t="s">
        <v>4</v>
      </c>
      <c r="C95" s="84" t="s">
        <v>8</v>
      </c>
      <c r="D95" s="84" t="s">
        <v>284</v>
      </c>
      <c r="E95" s="125">
        <v>3023.0</v>
      </c>
      <c r="F95" s="51">
        <f t="shared" si="1"/>
        <v>49.67953985</v>
      </c>
      <c r="G95" s="125">
        <f>E95+E96+E97</f>
        <v>6085</v>
      </c>
      <c r="H95" s="125" t="s">
        <v>219</v>
      </c>
      <c r="I95" s="125">
        <v>3023.0</v>
      </c>
    </row>
    <row r="96">
      <c r="A96" s="84" t="s">
        <v>289</v>
      </c>
      <c r="B96" s="84" t="s">
        <v>4</v>
      </c>
      <c r="C96" s="84" t="s">
        <v>8</v>
      </c>
      <c r="D96" s="84" t="s">
        <v>285</v>
      </c>
      <c r="E96" s="125">
        <v>1907.0</v>
      </c>
      <c r="F96" s="51">
        <f t="shared" si="1"/>
        <v>31.33935908</v>
      </c>
      <c r="G96" s="125">
        <f t="shared" ref="G96:G97" si="35">G95</f>
        <v>6085</v>
      </c>
      <c r="H96" s="125" t="s">
        <v>219</v>
      </c>
      <c r="I96" s="125">
        <v>1907.0</v>
      </c>
    </row>
    <row r="97">
      <c r="A97" s="84" t="s">
        <v>289</v>
      </c>
      <c r="B97" s="84" t="s">
        <v>4</v>
      </c>
      <c r="C97" s="84" t="s">
        <v>8</v>
      </c>
      <c r="D97" s="84" t="s">
        <v>286</v>
      </c>
      <c r="E97" s="125">
        <v>1155.0</v>
      </c>
      <c r="F97" s="51">
        <f t="shared" si="1"/>
        <v>18.98110107</v>
      </c>
      <c r="G97" s="125">
        <f t="shared" si="35"/>
        <v>6085</v>
      </c>
      <c r="H97" s="125" t="s">
        <v>219</v>
      </c>
      <c r="I97" s="125">
        <v>1155.0</v>
      </c>
    </row>
    <row r="98">
      <c r="A98" s="84" t="s">
        <v>290</v>
      </c>
      <c r="B98" s="84" t="s">
        <v>202</v>
      </c>
      <c r="C98" s="84" t="s">
        <v>206</v>
      </c>
      <c r="D98" s="84" t="s">
        <v>284</v>
      </c>
      <c r="E98" s="125">
        <v>404.0</v>
      </c>
      <c r="F98" s="51">
        <f t="shared" si="1"/>
        <v>45.90909091</v>
      </c>
      <c r="G98" s="125">
        <f>E98+E99+E100</f>
        <v>880</v>
      </c>
      <c r="H98" s="125" t="s">
        <v>207</v>
      </c>
      <c r="I98" s="125">
        <v>404.0</v>
      </c>
    </row>
    <row r="99">
      <c r="A99" s="84" t="s">
        <v>290</v>
      </c>
      <c r="B99" s="84" t="s">
        <v>202</v>
      </c>
      <c r="C99" s="84" t="s">
        <v>206</v>
      </c>
      <c r="D99" s="84" t="s">
        <v>285</v>
      </c>
      <c r="E99" s="125">
        <v>360.0</v>
      </c>
      <c r="F99" s="51">
        <f t="shared" si="1"/>
        <v>40.90909091</v>
      </c>
      <c r="G99" s="125">
        <f t="shared" ref="G99:G100" si="36">G98</f>
        <v>880</v>
      </c>
      <c r="H99" s="125" t="s">
        <v>207</v>
      </c>
      <c r="I99" s="125">
        <v>360.0</v>
      </c>
    </row>
    <row r="100">
      <c r="A100" s="84" t="s">
        <v>290</v>
      </c>
      <c r="B100" s="84" t="s">
        <v>202</v>
      </c>
      <c r="C100" s="84" t="s">
        <v>206</v>
      </c>
      <c r="D100" s="84" t="s">
        <v>286</v>
      </c>
      <c r="E100" s="125">
        <v>116.0</v>
      </c>
      <c r="F100" s="51">
        <f t="shared" si="1"/>
        <v>13.18181818</v>
      </c>
      <c r="G100" s="125">
        <f t="shared" si="36"/>
        <v>880</v>
      </c>
      <c r="H100" s="125" t="s">
        <v>207</v>
      </c>
      <c r="I100" s="125">
        <v>116.0</v>
      </c>
    </row>
    <row r="101">
      <c r="A101" s="84" t="s">
        <v>290</v>
      </c>
      <c r="B101" s="84" t="s">
        <v>202</v>
      </c>
      <c r="C101" s="84" t="s">
        <v>203</v>
      </c>
      <c r="D101" s="84" t="s">
        <v>284</v>
      </c>
      <c r="E101" s="125">
        <v>385.0</v>
      </c>
      <c r="F101" s="51">
        <f t="shared" si="1"/>
        <v>17.36580965</v>
      </c>
      <c r="G101" s="125">
        <f>E101+E102+E103</f>
        <v>2217</v>
      </c>
      <c r="H101" s="125" t="s">
        <v>203</v>
      </c>
      <c r="I101" s="125">
        <v>385.0</v>
      </c>
    </row>
    <row r="102">
      <c r="A102" s="84" t="s">
        <v>290</v>
      </c>
      <c r="B102" s="84" t="s">
        <v>202</v>
      </c>
      <c r="C102" s="84" t="s">
        <v>203</v>
      </c>
      <c r="D102" s="84" t="s">
        <v>285</v>
      </c>
      <c r="E102" s="125">
        <v>1579.0</v>
      </c>
      <c r="F102" s="51">
        <f t="shared" si="1"/>
        <v>71.22237258</v>
      </c>
      <c r="G102" s="125">
        <f t="shared" ref="G102:G103" si="37">G101</f>
        <v>2217</v>
      </c>
      <c r="H102" s="125" t="s">
        <v>203</v>
      </c>
      <c r="I102" s="125">
        <v>1579.0</v>
      </c>
    </row>
    <row r="103">
      <c r="A103" s="84" t="s">
        <v>290</v>
      </c>
      <c r="B103" s="84" t="s">
        <v>202</v>
      </c>
      <c r="C103" s="84" t="s">
        <v>203</v>
      </c>
      <c r="D103" s="84" t="s">
        <v>286</v>
      </c>
      <c r="E103" s="125">
        <v>253.0</v>
      </c>
      <c r="F103" s="51">
        <f t="shared" si="1"/>
        <v>11.41181777</v>
      </c>
      <c r="G103" s="125">
        <f t="shared" si="37"/>
        <v>2217</v>
      </c>
      <c r="H103" s="125" t="s">
        <v>203</v>
      </c>
      <c r="I103" s="125">
        <v>253.0</v>
      </c>
    </row>
    <row r="104">
      <c r="A104" s="84" t="s">
        <v>290</v>
      </c>
      <c r="B104" s="84" t="s">
        <v>202</v>
      </c>
      <c r="C104" s="84" t="s">
        <v>204</v>
      </c>
      <c r="D104" s="84" t="s">
        <v>284</v>
      </c>
      <c r="E104" s="125">
        <v>448.0</v>
      </c>
      <c r="F104" s="51">
        <f t="shared" si="1"/>
        <v>34.19847328</v>
      </c>
      <c r="G104" s="125">
        <f>E104+E105+E106</f>
        <v>1310</v>
      </c>
      <c r="H104" s="125" t="s">
        <v>205</v>
      </c>
      <c r="I104" s="125">
        <v>448.0</v>
      </c>
    </row>
    <row r="105">
      <c r="A105" s="84" t="s">
        <v>290</v>
      </c>
      <c r="B105" s="84" t="s">
        <v>202</v>
      </c>
      <c r="C105" s="84" t="s">
        <v>204</v>
      </c>
      <c r="D105" s="84" t="s">
        <v>285</v>
      </c>
      <c r="E105" s="125">
        <v>749.0</v>
      </c>
      <c r="F105" s="51">
        <f t="shared" si="1"/>
        <v>57.17557252</v>
      </c>
      <c r="G105" s="125">
        <f t="shared" ref="G105:G106" si="38">G104</f>
        <v>1310</v>
      </c>
      <c r="H105" s="125" t="s">
        <v>205</v>
      </c>
      <c r="I105" s="125">
        <v>749.0</v>
      </c>
    </row>
    <row r="106">
      <c r="A106" s="84" t="s">
        <v>290</v>
      </c>
      <c r="B106" s="84" t="s">
        <v>202</v>
      </c>
      <c r="C106" s="84" t="s">
        <v>204</v>
      </c>
      <c r="D106" s="84" t="s">
        <v>286</v>
      </c>
      <c r="E106" s="125">
        <v>113.0</v>
      </c>
      <c r="F106" s="51">
        <f t="shared" si="1"/>
        <v>8.625954198</v>
      </c>
      <c r="G106" s="125">
        <f t="shared" si="38"/>
        <v>1310</v>
      </c>
      <c r="H106" s="125" t="s">
        <v>205</v>
      </c>
      <c r="I106" s="125">
        <v>113.0</v>
      </c>
    </row>
    <row r="107">
      <c r="A107" s="84" t="s">
        <v>291</v>
      </c>
      <c r="B107" s="84" t="s">
        <v>197</v>
      </c>
      <c r="C107" s="84" t="s">
        <v>198</v>
      </c>
      <c r="D107" s="84" t="s">
        <v>284</v>
      </c>
      <c r="E107" s="125">
        <v>4714.0</v>
      </c>
      <c r="F107" s="51">
        <f t="shared" si="1"/>
        <v>57.59315822</v>
      </c>
      <c r="G107" s="125">
        <f>E107+E108+E109</f>
        <v>8185</v>
      </c>
      <c r="H107" s="125" t="s">
        <v>199</v>
      </c>
      <c r="I107" s="125">
        <v>4714.0</v>
      </c>
    </row>
    <row r="108">
      <c r="A108" s="84" t="s">
        <v>291</v>
      </c>
      <c r="B108" s="84" t="s">
        <v>197</v>
      </c>
      <c r="C108" s="84" t="s">
        <v>198</v>
      </c>
      <c r="D108" s="84" t="s">
        <v>285</v>
      </c>
      <c r="E108" s="125">
        <v>2829.0</v>
      </c>
      <c r="F108" s="51">
        <f t="shared" si="1"/>
        <v>34.56322541</v>
      </c>
      <c r="G108" s="125">
        <f t="shared" ref="G108:G109" si="39">G107</f>
        <v>8185</v>
      </c>
      <c r="H108" s="125" t="s">
        <v>199</v>
      </c>
      <c r="I108" s="125">
        <v>2829.0</v>
      </c>
    </row>
    <row r="109">
      <c r="A109" s="84" t="s">
        <v>291</v>
      </c>
      <c r="B109" s="84" t="s">
        <v>197</v>
      </c>
      <c r="C109" s="84" t="s">
        <v>198</v>
      </c>
      <c r="D109" s="84" t="s">
        <v>286</v>
      </c>
      <c r="E109" s="125">
        <v>642.0</v>
      </c>
      <c r="F109" s="51">
        <f t="shared" si="1"/>
        <v>7.843616371</v>
      </c>
      <c r="G109" s="125">
        <f t="shared" si="39"/>
        <v>8185</v>
      </c>
      <c r="H109" s="125" t="s">
        <v>199</v>
      </c>
      <c r="I109" s="125">
        <v>642.0</v>
      </c>
    </row>
    <row r="110">
      <c r="A110" s="84" t="s">
        <v>291</v>
      </c>
      <c r="B110" s="84" t="s">
        <v>197</v>
      </c>
      <c r="C110" s="84" t="s">
        <v>200</v>
      </c>
      <c r="D110" s="84" t="s">
        <v>284</v>
      </c>
      <c r="E110" s="125">
        <v>506.0</v>
      </c>
      <c r="F110" s="51">
        <f t="shared" si="1"/>
        <v>47.15750233</v>
      </c>
      <c r="G110" s="125">
        <f>E110+E111+E112</f>
        <v>1073</v>
      </c>
      <c r="H110" s="125" t="s">
        <v>201</v>
      </c>
      <c r="I110" s="125">
        <v>506.0</v>
      </c>
    </row>
    <row r="111">
      <c r="A111" s="84" t="s">
        <v>291</v>
      </c>
      <c r="B111" s="84" t="s">
        <v>197</v>
      </c>
      <c r="C111" s="84" t="s">
        <v>200</v>
      </c>
      <c r="D111" s="84" t="s">
        <v>285</v>
      </c>
      <c r="E111" s="125">
        <v>431.0</v>
      </c>
      <c r="F111" s="51">
        <f t="shared" si="1"/>
        <v>40.16775396</v>
      </c>
      <c r="G111" s="125">
        <f t="shared" ref="G111:G112" si="40">G110</f>
        <v>1073</v>
      </c>
      <c r="H111" s="125" t="s">
        <v>201</v>
      </c>
      <c r="I111" s="125">
        <v>431.0</v>
      </c>
    </row>
    <row r="112">
      <c r="A112" s="84" t="s">
        <v>291</v>
      </c>
      <c r="B112" s="84" t="s">
        <v>197</v>
      </c>
      <c r="C112" s="84" t="s">
        <v>200</v>
      </c>
      <c r="D112" s="84" t="s">
        <v>286</v>
      </c>
      <c r="E112" s="125">
        <v>136.0</v>
      </c>
      <c r="F112" s="51">
        <f t="shared" si="1"/>
        <v>12.67474371</v>
      </c>
      <c r="G112" s="125">
        <f t="shared" si="40"/>
        <v>1073</v>
      </c>
      <c r="H112" s="125" t="s">
        <v>201</v>
      </c>
      <c r="I112" s="125">
        <v>136.0</v>
      </c>
    </row>
    <row r="113">
      <c r="A113" s="84" t="s">
        <v>291</v>
      </c>
      <c r="B113" s="84" t="s">
        <v>189</v>
      </c>
      <c r="C113" s="84" t="s">
        <v>194</v>
      </c>
      <c r="D113" s="84" t="s">
        <v>284</v>
      </c>
      <c r="E113" s="125">
        <v>84.0</v>
      </c>
      <c r="F113" s="51">
        <f t="shared" si="1"/>
        <v>44.44444444</v>
      </c>
      <c r="G113" s="125">
        <f>E113+E114+E115</f>
        <v>189</v>
      </c>
      <c r="H113" s="125" t="s">
        <v>195</v>
      </c>
      <c r="I113" s="125">
        <v>84.0</v>
      </c>
    </row>
    <row r="114">
      <c r="A114" s="84" t="s">
        <v>291</v>
      </c>
      <c r="B114" s="84" t="s">
        <v>189</v>
      </c>
      <c r="C114" s="84" t="s">
        <v>194</v>
      </c>
      <c r="D114" s="84" t="s">
        <v>285</v>
      </c>
      <c r="E114" s="125">
        <v>97.0</v>
      </c>
      <c r="F114" s="51">
        <f t="shared" si="1"/>
        <v>51.32275132</v>
      </c>
      <c r="G114" s="125">
        <f t="shared" ref="G114:G115" si="41">G113</f>
        <v>189</v>
      </c>
      <c r="H114" s="125" t="s">
        <v>195</v>
      </c>
      <c r="I114" s="125">
        <v>97.0</v>
      </c>
    </row>
    <row r="115">
      <c r="A115" s="84" t="s">
        <v>291</v>
      </c>
      <c r="B115" s="84" t="s">
        <v>189</v>
      </c>
      <c r="C115" s="84" t="s">
        <v>194</v>
      </c>
      <c r="D115" s="84" t="s">
        <v>286</v>
      </c>
      <c r="E115" s="125">
        <v>8.0</v>
      </c>
      <c r="F115" s="51">
        <f t="shared" si="1"/>
        <v>4.232804233</v>
      </c>
      <c r="G115" s="125">
        <f t="shared" si="41"/>
        <v>189</v>
      </c>
      <c r="H115" s="125" t="s">
        <v>195</v>
      </c>
      <c r="I115" s="125">
        <v>8.0</v>
      </c>
    </row>
    <row r="116">
      <c r="A116" s="84" t="s">
        <v>291</v>
      </c>
      <c r="B116" s="84" t="s">
        <v>189</v>
      </c>
      <c r="C116" s="84" t="s">
        <v>190</v>
      </c>
      <c r="D116" s="84" t="s">
        <v>284</v>
      </c>
      <c r="E116" s="125">
        <v>96.0</v>
      </c>
      <c r="F116" s="51">
        <f t="shared" si="1"/>
        <v>29.90654206</v>
      </c>
      <c r="G116" s="125">
        <f>E116+E117+E118</f>
        <v>321</v>
      </c>
      <c r="H116" s="125" t="s">
        <v>191</v>
      </c>
      <c r="I116" s="125">
        <v>96.0</v>
      </c>
    </row>
    <row r="117">
      <c r="A117" s="84" t="s">
        <v>291</v>
      </c>
      <c r="B117" s="84" t="s">
        <v>189</v>
      </c>
      <c r="C117" s="84" t="s">
        <v>190</v>
      </c>
      <c r="D117" s="84" t="s">
        <v>285</v>
      </c>
      <c r="E117" s="125">
        <v>203.0</v>
      </c>
      <c r="F117" s="51">
        <f t="shared" si="1"/>
        <v>63.23987539</v>
      </c>
      <c r="G117" s="125">
        <f t="shared" ref="G117:G118" si="42">G116</f>
        <v>321</v>
      </c>
      <c r="H117" s="125" t="s">
        <v>191</v>
      </c>
      <c r="I117" s="125">
        <v>203.0</v>
      </c>
    </row>
    <row r="118">
      <c r="A118" s="84" t="s">
        <v>291</v>
      </c>
      <c r="B118" s="84" t="s">
        <v>189</v>
      </c>
      <c r="C118" s="84" t="s">
        <v>190</v>
      </c>
      <c r="D118" s="84" t="s">
        <v>286</v>
      </c>
      <c r="E118" s="125">
        <v>22.0</v>
      </c>
      <c r="F118" s="51">
        <f t="shared" si="1"/>
        <v>6.853582555</v>
      </c>
      <c r="G118" s="125">
        <f t="shared" si="42"/>
        <v>321</v>
      </c>
      <c r="H118" s="125" t="s">
        <v>191</v>
      </c>
      <c r="I118" s="125">
        <v>22.0</v>
      </c>
    </row>
    <row r="119">
      <c r="A119" s="84" t="s">
        <v>291</v>
      </c>
      <c r="B119" s="84" t="s">
        <v>189</v>
      </c>
      <c r="C119" s="84" t="s">
        <v>192</v>
      </c>
      <c r="D119" s="84" t="s">
        <v>284</v>
      </c>
      <c r="E119" s="125">
        <v>46.0</v>
      </c>
      <c r="F119" s="51">
        <f t="shared" si="1"/>
        <v>30.26315789</v>
      </c>
      <c r="G119" s="125">
        <f>E119+E120+E121</f>
        <v>152</v>
      </c>
      <c r="H119" s="125" t="s">
        <v>193</v>
      </c>
      <c r="I119" s="125">
        <v>46.0</v>
      </c>
    </row>
    <row r="120">
      <c r="A120" s="84" t="s">
        <v>291</v>
      </c>
      <c r="B120" s="84" t="s">
        <v>189</v>
      </c>
      <c r="C120" s="84" t="s">
        <v>192</v>
      </c>
      <c r="D120" s="84" t="s">
        <v>285</v>
      </c>
      <c r="E120" s="125">
        <v>92.0</v>
      </c>
      <c r="F120" s="51">
        <f t="shared" si="1"/>
        <v>60.52631579</v>
      </c>
      <c r="G120" s="125">
        <f t="shared" ref="G120:G121" si="43">G119</f>
        <v>152</v>
      </c>
      <c r="H120" s="125" t="s">
        <v>193</v>
      </c>
      <c r="I120" s="125">
        <v>92.0</v>
      </c>
    </row>
    <row r="121">
      <c r="A121" s="84" t="s">
        <v>291</v>
      </c>
      <c r="B121" s="84" t="s">
        <v>189</v>
      </c>
      <c r="C121" s="84" t="s">
        <v>192</v>
      </c>
      <c r="D121" s="84" t="s">
        <v>286</v>
      </c>
      <c r="E121" s="125">
        <v>14.0</v>
      </c>
      <c r="F121" s="51">
        <f t="shared" si="1"/>
        <v>9.210526316</v>
      </c>
      <c r="G121" s="125">
        <f t="shared" si="43"/>
        <v>152</v>
      </c>
      <c r="H121" s="125" t="s">
        <v>193</v>
      </c>
      <c r="I121" s="125">
        <v>14.0</v>
      </c>
    </row>
    <row r="122">
      <c r="A122" s="84" t="s">
        <v>291</v>
      </c>
      <c r="B122" s="84" t="s">
        <v>183</v>
      </c>
      <c r="C122" s="84" t="s">
        <v>186</v>
      </c>
      <c r="D122" s="84" t="s">
        <v>284</v>
      </c>
      <c r="E122" s="125">
        <v>94.0</v>
      </c>
      <c r="F122" s="51">
        <f t="shared" si="1"/>
        <v>51.93370166</v>
      </c>
      <c r="G122" s="125">
        <f>E122+E123+E124</f>
        <v>181</v>
      </c>
      <c r="H122" s="125" t="s">
        <v>187</v>
      </c>
      <c r="I122" s="125">
        <v>94.0</v>
      </c>
    </row>
    <row r="123">
      <c r="A123" s="84" t="s">
        <v>291</v>
      </c>
      <c r="B123" s="84" t="s">
        <v>183</v>
      </c>
      <c r="C123" s="84" t="s">
        <v>186</v>
      </c>
      <c r="D123" s="84" t="s">
        <v>285</v>
      </c>
      <c r="E123" s="125">
        <v>56.0</v>
      </c>
      <c r="F123" s="51">
        <f t="shared" si="1"/>
        <v>30.93922652</v>
      </c>
      <c r="G123" s="125">
        <f t="shared" ref="G123:G124" si="44">G122</f>
        <v>181</v>
      </c>
      <c r="H123" s="125" t="s">
        <v>187</v>
      </c>
      <c r="I123" s="125">
        <v>56.0</v>
      </c>
    </row>
    <row r="124">
      <c r="A124" s="84" t="s">
        <v>291</v>
      </c>
      <c r="B124" s="84" t="s">
        <v>183</v>
      </c>
      <c r="C124" s="84" t="s">
        <v>186</v>
      </c>
      <c r="D124" s="84" t="s">
        <v>286</v>
      </c>
      <c r="E124" s="125">
        <v>31.0</v>
      </c>
      <c r="F124" s="51">
        <f t="shared" si="1"/>
        <v>17.12707182</v>
      </c>
      <c r="G124" s="125">
        <f t="shared" si="44"/>
        <v>181</v>
      </c>
      <c r="H124" s="125" t="s">
        <v>187</v>
      </c>
      <c r="I124" s="125">
        <v>31.0</v>
      </c>
    </row>
    <row r="125">
      <c r="A125" s="84" t="s">
        <v>291</v>
      </c>
      <c r="B125" s="84" t="s">
        <v>183</v>
      </c>
      <c r="C125" s="84" t="s">
        <v>184</v>
      </c>
      <c r="D125" s="84" t="s">
        <v>284</v>
      </c>
      <c r="E125" s="125">
        <v>130.0</v>
      </c>
      <c r="F125" s="51">
        <f t="shared" si="1"/>
        <v>29.95391705</v>
      </c>
      <c r="G125" s="125">
        <f>E125+E126+E127</f>
        <v>434</v>
      </c>
      <c r="H125" s="125" t="s">
        <v>185</v>
      </c>
      <c r="I125" s="125">
        <v>130.0</v>
      </c>
    </row>
    <row r="126">
      <c r="A126" s="84" t="s">
        <v>291</v>
      </c>
      <c r="B126" s="84" t="s">
        <v>183</v>
      </c>
      <c r="C126" s="84" t="s">
        <v>184</v>
      </c>
      <c r="D126" s="84" t="s">
        <v>285</v>
      </c>
      <c r="E126" s="125">
        <v>268.0</v>
      </c>
      <c r="F126" s="51">
        <f t="shared" si="1"/>
        <v>61.75115207</v>
      </c>
      <c r="G126" s="125">
        <f t="shared" ref="G126:G127" si="45">G125</f>
        <v>434</v>
      </c>
      <c r="H126" s="125" t="s">
        <v>185</v>
      </c>
      <c r="I126" s="125">
        <v>268.0</v>
      </c>
    </row>
    <row r="127">
      <c r="A127" s="84" t="s">
        <v>291</v>
      </c>
      <c r="B127" s="84" t="s">
        <v>183</v>
      </c>
      <c r="C127" s="84" t="s">
        <v>184</v>
      </c>
      <c r="D127" s="84" t="s">
        <v>286</v>
      </c>
      <c r="E127" s="125">
        <v>36.0</v>
      </c>
      <c r="F127" s="51">
        <f t="shared" si="1"/>
        <v>8.294930876</v>
      </c>
      <c r="G127" s="125">
        <f t="shared" si="45"/>
        <v>434</v>
      </c>
      <c r="H127" s="125" t="s">
        <v>185</v>
      </c>
      <c r="I127" s="125">
        <v>36.0</v>
      </c>
    </row>
    <row r="128">
      <c r="A128" s="84" t="s">
        <v>292</v>
      </c>
      <c r="B128" s="84" t="s">
        <v>161</v>
      </c>
      <c r="C128" s="84" t="s">
        <v>104</v>
      </c>
      <c r="D128" s="84" t="s">
        <v>284</v>
      </c>
      <c r="E128" s="125">
        <f>'Página38'!G3</f>
        <v>448</v>
      </c>
      <c r="F128" s="51">
        <f t="shared" si="1"/>
        <v>19.2605331</v>
      </c>
      <c r="G128" s="125">
        <f>E128+E129+E130</f>
        <v>2326</v>
      </c>
      <c r="H128" s="125" t="s">
        <v>160</v>
      </c>
      <c r="I128" s="125"/>
    </row>
    <row r="129">
      <c r="A129" s="84" t="s">
        <v>292</v>
      </c>
      <c r="B129" s="84" t="s">
        <v>161</v>
      </c>
      <c r="C129" s="84" t="s">
        <v>104</v>
      </c>
      <c r="D129" s="84" t="s">
        <v>285</v>
      </c>
      <c r="E129" s="125">
        <f>'Página38'!F3</f>
        <v>1812</v>
      </c>
      <c r="F129" s="51">
        <f t="shared" si="1"/>
        <v>77.90197764</v>
      </c>
      <c r="G129" s="125">
        <f t="shared" ref="G129:G130" si="46">G128</f>
        <v>2326</v>
      </c>
      <c r="H129" s="125" t="s">
        <v>160</v>
      </c>
      <c r="I129" s="125"/>
    </row>
    <row r="130">
      <c r="A130" s="84" t="s">
        <v>292</v>
      </c>
      <c r="B130" s="84" t="s">
        <v>161</v>
      </c>
      <c r="C130" s="84" t="s">
        <v>104</v>
      </c>
      <c r="D130" s="84" t="s">
        <v>286</v>
      </c>
      <c r="E130" s="125">
        <f>'Página38'!H3</f>
        <v>66</v>
      </c>
      <c r="F130" s="51">
        <f t="shared" si="1"/>
        <v>2.837489252</v>
      </c>
      <c r="G130" s="125">
        <f t="shared" si="46"/>
        <v>2326</v>
      </c>
      <c r="H130" s="125" t="s">
        <v>160</v>
      </c>
      <c r="I130" s="125"/>
    </row>
    <row r="131">
      <c r="A131" s="84" t="s">
        <v>292</v>
      </c>
      <c r="B131" s="84" t="s">
        <v>161</v>
      </c>
      <c r="C131" s="84" t="s">
        <v>162</v>
      </c>
      <c r="D131" s="84" t="s">
        <v>284</v>
      </c>
      <c r="E131" s="125">
        <f>'Página38'!G5</f>
        <v>526</v>
      </c>
      <c r="F131" s="51">
        <f t="shared" si="1"/>
        <v>58.77094972</v>
      </c>
      <c r="G131" s="125">
        <f>E131+E132+E133</f>
        <v>895</v>
      </c>
      <c r="H131" s="125" t="s">
        <v>163</v>
      </c>
      <c r="I131" s="125"/>
    </row>
    <row r="132">
      <c r="A132" s="84" t="s">
        <v>292</v>
      </c>
      <c r="B132" s="84" t="s">
        <v>161</v>
      </c>
      <c r="C132" s="84" t="s">
        <v>162</v>
      </c>
      <c r="D132" s="84" t="s">
        <v>285</v>
      </c>
      <c r="E132" s="125">
        <f>'Página38'!F5</f>
        <v>322</v>
      </c>
      <c r="F132" s="51">
        <f t="shared" si="1"/>
        <v>35.97765363</v>
      </c>
      <c r="G132" s="125">
        <f t="shared" ref="G132:G133" si="47">G131</f>
        <v>895</v>
      </c>
      <c r="H132" s="125" t="s">
        <v>163</v>
      </c>
      <c r="I132" s="125"/>
    </row>
    <row r="133">
      <c r="A133" s="84" t="s">
        <v>292</v>
      </c>
      <c r="B133" s="84" t="s">
        <v>161</v>
      </c>
      <c r="C133" s="84" t="s">
        <v>162</v>
      </c>
      <c r="D133" s="84" t="s">
        <v>286</v>
      </c>
      <c r="E133" s="125">
        <f>'Página38'!H5</f>
        <v>47</v>
      </c>
      <c r="F133" s="51">
        <f t="shared" si="1"/>
        <v>5.251396648</v>
      </c>
      <c r="G133" s="125">
        <f t="shared" si="47"/>
        <v>895</v>
      </c>
      <c r="H133" s="125" t="s">
        <v>163</v>
      </c>
      <c r="I133" s="125"/>
    </row>
    <row r="134">
      <c r="A134" s="84" t="s">
        <v>292</v>
      </c>
      <c r="B134" s="84" t="s">
        <v>179</v>
      </c>
      <c r="C134" s="84" t="s">
        <v>180</v>
      </c>
      <c r="D134" s="84" t="s">
        <v>284</v>
      </c>
      <c r="E134" s="125">
        <v>278.0</v>
      </c>
      <c r="F134" s="51">
        <f t="shared" si="1"/>
        <v>52.2556391</v>
      </c>
      <c r="G134" s="125">
        <f>E134+E135+E136</f>
        <v>532</v>
      </c>
      <c r="H134" s="125" t="s">
        <v>181</v>
      </c>
      <c r="I134" s="125">
        <v>278.0</v>
      </c>
    </row>
    <row r="135">
      <c r="A135" s="84" t="s">
        <v>292</v>
      </c>
      <c r="B135" s="84" t="s">
        <v>179</v>
      </c>
      <c r="C135" s="84" t="s">
        <v>180</v>
      </c>
      <c r="D135" s="84" t="s">
        <v>285</v>
      </c>
      <c r="E135" s="125">
        <v>187.0</v>
      </c>
      <c r="F135" s="51">
        <f t="shared" si="1"/>
        <v>35.15037594</v>
      </c>
      <c r="G135" s="125">
        <f t="shared" ref="G135:G136" si="48">G134</f>
        <v>532</v>
      </c>
      <c r="H135" s="125" t="s">
        <v>181</v>
      </c>
      <c r="I135" s="125">
        <v>187.0</v>
      </c>
    </row>
    <row r="136">
      <c r="A136" s="84" t="s">
        <v>292</v>
      </c>
      <c r="B136" s="84" t="s">
        <v>179</v>
      </c>
      <c r="C136" s="84" t="s">
        <v>180</v>
      </c>
      <c r="D136" s="84" t="s">
        <v>286</v>
      </c>
      <c r="E136" s="125">
        <v>67.0</v>
      </c>
      <c r="F136" s="51">
        <f t="shared" si="1"/>
        <v>12.59398496</v>
      </c>
      <c r="G136" s="125">
        <f t="shared" si="48"/>
        <v>532</v>
      </c>
      <c r="H136" s="125" t="s">
        <v>181</v>
      </c>
      <c r="I136" s="125">
        <v>67.0</v>
      </c>
    </row>
    <row r="137">
      <c r="A137" s="84" t="s">
        <v>292</v>
      </c>
      <c r="B137" s="84" t="s">
        <v>175</v>
      </c>
      <c r="C137" s="84" t="s">
        <v>176</v>
      </c>
      <c r="D137" s="84" t="s">
        <v>284</v>
      </c>
      <c r="E137" s="125">
        <f>'Página38'!G9</f>
        <v>34</v>
      </c>
      <c r="F137" s="51">
        <f t="shared" si="1"/>
        <v>7.852193995</v>
      </c>
      <c r="G137" s="125">
        <f>E137+E138+E139</f>
        <v>433</v>
      </c>
      <c r="H137" s="125" t="s">
        <v>177</v>
      </c>
      <c r="I137" s="125"/>
    </row>
    <row r="138">
      <c r="A138" s="84" t="s">
        <v>292</v>
      </c>
      <c r="B138" s="84" t="s">
        <v>175</v>
      </c>
      <c r="C138" s="84" t="s">
        <v>176</v>
      </c>
      <c r="D138" s="84" t="s">
        <v>285</v>
      </c>
      <c r="E138" s="125">
        <f>'Página38'!F9</f>
        <v>389</v>
      </c>
      <c r="F138" s="51">
        <f t="shared" si="1"/>
        <v>89.83833718</v>
      </c>
      <c r="G138" s="125">
        <f t="shared" ref="G138:G139" si="49">G137</f>
        <v>433</v>
      </c>
      <c r="H138" s="125" t="s">
        <v>177</v>
      </c>
      <c r="I138" s="125"/>
    </row>
    <row r="139">
      <c r="A139" s="84" t="s">
        <v>292</v>
      </c>
      <c r="B139" s="84" t="s">
        <v>175</v>
      </c>
      <c r="C139" s="84" t="s">
        <v>176</v>
      </c>
      <c r="D139" s="84" t="s">
        <v>286</v>
      </c>
      <c r="E139" s="125">
        <f>'Página38'!H9</f>
        <v>10</v>
      </c>
      <c r="F139" s="51">
        <f t="shared" si="1"/>
        <v>2.309468822</v>
      </c>
      <c r="G139" s="125">
        <f t="shared" si="49"/>
        <v>433</v>
      </c>
      <c r="H139" s="125" t="s">
        <v>177</v>
      </c>
      <c r="I139" s="125"/>
    </row>
    <row r="140">
      <c r="A140" s="84" t="s">
        <v>292</v>
      </c>
      <c r="B140" s="84" t="s">
        <v>171</v>
      </c>
      <c r="C140" s="84" t="s">
        <v>172</v>
      </c>
      <c r="D140" s="84" t="s">
        <v>284</v>
      </c>
      <c r="E140" s="125">
        <f>'Página38'!G8</f>
        <v>114</v>
      </c>
      <c r="F140" s="51">
        <f t="shared" si="1"/>
        <v>10.89866157</v>
      </c>
      <c r="G140" s="125">
        <f>E140+E141+E142</f>
        <v>1046</v>
      </c>
      <c r="H140" s="125" t="s">
        <v>173</v>
      </c>
      <c r="I140" s="125"/>
    </row>
    <row r="141">
      <c r="A141" s="84" t="s">
        <v>292</v>
      </c>
      <c r="B141" s="84" t="s">
        <v>171</v>
      </c>
      <c r="C141" s="84" t="s">
        <v>172</v>
      </c>
      <c r="D141" s="84" t="s">
        <v>285</v>
      </c>
      <c r="E141" s="125">
        <f>'Página38'!F8</f>
        <v>916</v>
      </c>
      <c r="F141" s="51">
        <f t="shared" si="1"/>
        <v>87.57170172</v>
      </c>
      <c r="G141" s="125">
        <f t="shared" ref="G141:G142" si="50">G140</f>
        <v>1046</v>
      </c>
      <c r="H141" s="125" t="s">
        <v>173</v>
      </c>
      <c r="I141" s="125"/>
    </row>
    <row r="142">
      <c r="A142" s="84" t="s">
        <v>292</v>
      </c>
      <c r="B142" s="84" t="s">
        <v>171</v>
      </c>
      <c r="C142" s="84" t="s">
        <v>172</v>
      </c>
      <c r="D142" s="84" t="s">
        <v>286</v>
      </c>
      <c r="E142" s="125">
        <f>'Página38'!H8</f>
        <v>16</v>
      </c>
      <c r="F142" s="51">
        <f t="shared" si="1"/>
        <v>1.529636711</v>
      </c>
      <c r="G142" s="125">
        <f t="shared" si="50"/>
        <v>1046</v>
      </c>
      <c r="H142" s="125" t="s">
        <v>173</v>
      </c>
      <c r="I142" s="125"/>
    </row>
    <row r="143">
      <c r="A143" s="84" t="s">
        <v>292</v>
      </c>
      <c r="B143" s="84" t="s">
        <v>165</v>
      </c>
      <c r="C143" s="84" t="s">
        <v>166</v>
      </c>
      <c r="D143" s="84" t="s">
        <v>284</v>
      </c>
      <c r="E143" s="125">
        <f>'Página38'!G6</f>
        <v>375</v>
      </c>
      <c r="F143" s="51">
        <f t="shared" si="1"/>
        <v>39.51527924</v>
      </c>
      <c r="G143" s="125">
        <f>E143+E144+E145</f>
        <v>949</v>
      </c>
      <c r="H143" s="125" t="s">
        <v>167</v>
      </c>
      <c r="I143" s="125"/>
    </row>
    <row r="144">
      <c r="A144" s="84" t="s">
        <v>292</v>
      </c>
      <c r="B144" s="84" t="s">
        <v>165</v>
      </c>
      <c r="C144" s="84" t="s">
        <v>166</v>
      </c>
      <c r="D144" s="84" t="s">
        <v>285</v>
      </c>
      <c r="E144" s="125">
        <f>'Página38'!F6</f>
        <v>502</v>
      </c>
      <c r="F144" s="51">
        <f t="shared" si="1"/>
        <v>52.89778714</v>
      </c>
      <c r="G144" s="125">
        <f t="shared" ref="G144:G145" si="51">G143</f>
        <v>949</v>
      </c>
      <c r="H144" s="125" t="s">
        <v>167</v>
      </c>
      <c r="I144" s="125"/>
    </row>
    <row r="145">
      <c r="A145" s="84" t="s">
        <v>292</v>
      </c>
      <c r="B145" s="84" t="s">
        <v>165</v>
      </c>
      <c r="C145" s="84" t="s">
        <v>166</v>
      </c>
      <c r="D145" s="84" t="s">
        <v>286</v>
      </c>
      <c r="E145" s="125">
        <f>'Página38'!H6</f>
        <v>72</v>
      </c>
      <c r="F145" s="51">
        <f t="shared" si="1"/>
        <v>7.586933614</v>
      </c>
      <c r="G145" s="125">
        <f t="shared" si="51"/>
        <v>949</v>
      </c>
      <c r="H145" s="125" t="s">
        <v>167</v>
      </c>
      <c r="I145" s="125"/>
    </row>
    <row r="146">
      <c r="A146" s="84" t="s">
        <v>292</v>
      </c>
      <c r="B146" s="84" t="s">
        <v>165</v>
      </c>
      <c r="C146" s="84" t="s">
        <v>168</v>
      </c>
      <c r="D146" s="84" t="s">
        <v>284</v>
      </c>
      <c r="E146" s="125">
        <f>'Página38'!G7</f>
        <v>201</v>
      </c>
      <c r="F146" s="51">
        <f t="shared" si="1"/>
        <v>74.72118959</v>
      </c>
      <c r="G146" s="125">
        <f>E146+E147+E148</f>
        <v>269</v>
      </c>
      <c r="H146" s="125" t="s">
        <v>169</v>
      </c>
      <c r="I146" s="125"/>
    </row>
    <row r="147">
      <c r="A147" s="84" t="s">
        <v>292</v>
      </c>
      <c r="B147" s="84" t="s">
        <v>165</v>
      </c>
      <c r="C147" s="84" t="s">
        <v>168</v>
      </c>
      <c r="D147" s="84" t="s">
        <v>285</v>
      </c>
      <c r="E147" s="125">
        <f>'Página38'!F7</f>
        <v>40</v>
      </c>
      <c r="F147" s="51">
        <f t="shared" si="1"/>
        <v>14.86988848</v>
      </c>
      <c r="G147" s="125">
        <f t="shared" ref="G147:G148" si="52">G146</f>
        <v>269</v>
      </c>
      <c r="H147" s="125" t="s">
        <v>169</v>
      </c>
      <c r="I147" s="125"/>
    </row>
    <row r="148">
      <c r="A148" s="84" t="s">
        <v>292</v>
      </c>
      <c r="B148" s="84" t="s">
        <v>165</v>
      </c>
      <c r="C148" s="84" t="s">
        <v>168</v>
      </c>
      <c r="D148" s="84" t="s">
        <v>286</v>
      </c>
      <c r="E148" s="125">
        <f>'Página38'!H7</f>
        <v>28</v>
      </c>
      <c r="F148" s="51">
        <f t="shared" si="1"/>
        <v>10.40892193</v>
      </c>
      <c r="G148" s="125">
        <f t="shared" si="52"/>
        <v>269</v>
      </c>
      <c r="H148" s="125" t="s">
        <v>169</v>
      </c>
      <c r="I148" s="125"/>
    </row>
    <row r="149">
      <c r="A149" s="84" t="s">
        <v>292</v>
      </c>
      <c r="B149" s="84" t="s">
        <v>100</v>
      </c>
      <c r="C149" s="84" t="s">
        <v>104</v>
      </c>
      <c r="D149" s="84" t="s">
        <v>284</v>
      </c>
      <c r="E149" s="125">
        <f>'Página38'!G2</f>
        <v>814</v>
      </c>
      <c r="F149" s="51">
        <f t="shared" si="1"/>
        <v>40.98690836</v>
      </c>
      <c r="G149" s="125">
        <f>E149+E150+E151</f>
        <v>1986</v>
      </c>
      <c r="H149" s="125" t="s">
        <v>160</v>
      </c>
      <c r="I149" s="125"/>
    </row>
    <row r="150">
      <c r="A150" s="84" t="s">
        <v>292</v>
      </c>
      <c r="B150" s="84" t="s">
        <v>100</v>
      </c>
      <c r="C150" s="84" t="s">
        <v>104</v>
      </c>
      <c r="D150" s="84" t="s">
        <v>285</v>
      </c>
      <c r="E150" s="125">
        <f>'Página38'!F2</f>
        <v>807</v>
      </c>
      <c r="F150" s="51">
        <f t="shared" si="1"/>
        <v>40.63444109</v>
      </c>
      <c r="G150" s="125">
        <f t="shared" ref="G150:G151" si="53">G149</f>
        <v>1986</v>
      </c>
      <c r="H150" s="125" t="s">
        <v>160</v>
      </c>
      <c r="I150" s="125"/>
    </row>
    <row r="151">
      <c r="A151" s="84" t="s">
        <v>292</v>
      </c>
      <c r="B151" s="84" t="s">
        <v>100</v>
      </c>
      <c r="C151" s="84" t="s">
        <v>104</v>
      </c>
      <c r="D151" s="84" t="s">
        <v>286</v>
      </c>
      <c r="E151" s="125">
        <f>'Página38'!H2</f>
        <v>365</v>
      </c>
      <c r="F151" s="51">
        <f t="shared" si="1"/>
        <v>18.37865055</v>
      </c>
      <c r="G151" s="125">
        <f t="shared" si="53"/>
        <v>1986</v>
      </c>
      <c r="H151" s="125" t="s">
        <v>160</v>
      </c>
      <c r="I151" s="125"/>
    </row>
    <row r="152">
      <c r="A152" s="84" t="s">
        <v>292</v>
      </c>
      <c r="B152" s="84" t="s">
        <v>100</v>
      </c>
      <c r="C152" s="84" t="s">
        <v>162</v>
      </c>
      <c r="D152" s="84" t="s">
        <v>284</v>
      </c>
      <c r="E152" s="125">
        <f>'Página38'!G4</f>
        <v>562</v>
      </c>
      <c r="F152" s="51">
        <f t="shared" si="1"/>
        <v>61.96251378</v>
      </c>
      <c r="G152" s="125">
        <f>E152+E153+E154</f>
        <v>907</v>
      </c>
      <c r="H152" s="125" t="s">
        <v>163</v>
      </c>
      <c r="I152" s="125"/>
    </row>
    <row r="153">
      <c r="A153" s="84" t="s">
        <v>292</v>
      </c>
      <c r="B153" s="84" t="s">
        <v>100</v>
      </c>
      <c r="C153" s="84" t="s">
        <v>162</v>
      </c>
      <c r="D153" s="84" t="s">
        <v>285</v>
      </c>
      <c r="E153" s="125">
        <f>'Página38'!F4</f>
        <v>71</v>
      </c>
      <c r="F153" s="51">
        <f t="shared" si="1"/>
        <v>7.82800441</v>
      </c>
      <c r="G153" s="125">
        <f t="shared" ref="G153:G154" si="54">G152</f>
        <v>907</v>
      </c>
      <c r="H153" s="125" t="s">
        <v>163</v>
      </c>
      <c r="I153" s="125"/>
    </row>
    <row r="154">
      <c r="A154" s="84" t="s">
        <v>292</v>
      </c>
      <c r="B154" s="84" t="s">
        <v>100</v>
      </c>
      <c r="C154" s="84" t="s">
        <v>162</v>
      </c>
      <c r="D154" s="84" t="s">
        <v>286</v>
      </c>
      <c r="E154" s="125">
        <f>'Página38'!H4</f>
        <v>274</v>
      </c>
      <c r="F154" s="51">
        <f t="shared" si="1"/>
        <v>30.20948181</v>
      </c>
      <c r="G154" s="125">
        <f t="shared" si="54"/>
        <v>907</v>
      </c>
      <c r="H154" s="125" t="s">
        <v>163</v>
      </c>
      <c r="I154" s="125"/>
    </row>
    <row r="155">
      <c r="A155" s="84" t="s">
        <v>293</v>
      </c>
      <c r="B155" s="84" t="s">
        <v>209</v>
      </c>
      <c r="C155" s="84" t="s">
        <v>210</v>
      </c>
      <c r="D155" s="84" t="s">
        <v>284</v>
      </c>
      <c r="E155" s="125">
        <v>850.0</v>
      </c>
      <c r="F155" s="51">
        <f t="shared" si="1"/>
        <v>31.49314561</v>
      </c>
      <c r="G155" s="125">
        <f>E155+E156+E157</f>
        <v>2699</v>
      </c>
      <c r="H155" s="125" t="s">
        <v>211</v>
      </c>
      <c r="I155" s="125">
        <v>850.0</v>
      </c>
    </row>
    <row r="156">
      <c r="A156" s="84" t="s">
        <v>293</v>
      </c>
      <c r="B156" s="84" t="s">
        <v>209</v>
      </c>
      <c r="C156" s="84" t="s">
        <v>210</v>
      </c>
      <c r="D156" s="84" t="s">
        <v>285</v>
      </c>
      <c r="E156" s="125">
        <v>1627.0</v>
      </c>
      <c r="F156" s="51">
        <f t="shared" si="1"/>
        <v>60.28158577</v>
      </c>
      <c r="G156" s="125">
        <f t="shared" ref="G156:G157" si="55">G155</f>
        <v>2699</v>
      </c>
      <c r="H156" s="125" t="s">
        <v>211</v>
      </c>
      <c r="I156" s="125">
        <v>1627.0</v>
      </c>
    </row>
    <row r="157">
      <c r="A157" s="84" t="s">
        <v>293</v>
      </c>
      <c r="B157" s="84" t="s">
        <v>209</v>
      </c>
      <c r="C157" s="84" t="s">
        <v>210</v>
      </c>
      <c r="D157" s="84" t="s">
        <v>286</v>
      </c>
      <c r="E157" s="125">
        <v>222.0</v>
      </c>
      <c r="F157" s="51">
        <f t="shared" si="1"/>
        <v>8.225268618</v>
      </c>
      <c r="G157" s="125">
        <f t="shared" si="55"/>
        <v>2699</v>
      </c>
      <c r="H157" s="125" t="s">
        <v>211</v>
      </c>
      <c r="I157" s="125">
        <v>222.0</v>
      </c>
    </row>
    <row r="158">
      <c r="A158" s="84" t="s">
        <v>293</v>
      </c>
      <c r="B158" s="84" t="s">
        <v>212</v>
      </c>
      <c r="C158" s="84" t="s">
        <v>3</v>
      </c>
      <c r="D158" s="84" t="s">
        <v>284</v>
      </c>
      <c r="E158" s="125">
        <v>2938.0</v>
      </c>
      <c r="F158" s="51">
        <f t="shared" si="1"/>
        <v>36.01814393</v>
      </c>
      <c r="G158" s="125">
        <f>E158+E159+E160</f>
        <v>8157</v>
      </c>
      <c r="H158" s="125" t="s">
        <v>213</v>
      </c>
      <c r="I158" s="125">
        <v>2938.0</v>
      </c>
    </row>
    <row r="159">
      <c r="A159" s="84" t="s">
        <v>293</v>
      </c>
      <c r="B159" s="84" t="s">
        <v>212</v>
      </c>
      <c r="C159" s="84" t="s">
        <v>3</v>
      </c>
      <c r="D159" s="84" t="s">
        <v>285</v>
      </c>
      <c r="E159" s="125">
        <v>3609.0</v>
      </c>
      <c r="F159" s="51">
        <f t="shared" si="1"/>
        <v>44.24420743</v>
      </c>
      <c r="G159" s="125">
        <f t="shared" ref="G159:G160" si="56">G158</f>
        <v>8157</v>
      </c>
      <c r="H159" s="125" t="s">
        <v>213</v>
      </c>
      <c r="I159" s="125">
        <v>3609.0</v>
      </c>
    </row>
    <row r="160">
      <c r="A160" s="84" t="s">
        <v>293</v>
      </c>
      <c r="B160" s="84" t="s">
        <v>212</v>
      </c>
      <c r="C160" s="84" t="s">
        <v>3</v>
      </c>
      <c r="D160" s="84" t="s">
        <v>286</v>
      </c>
      <c r="E160" s="125">
        <v>1610.0</v>
      </c>
      <c r="F160" s="51">
        <f t="shared" si="1"/>
        <v>19.73764865</v>
      </c>
      <c r="G160" s="125">
        <f t="shared" si="56"/>
        <v>8157</v>
      </c>
      <c r="H160" s="125" t="s">
        <v>213</v>
      </c>
      <c r="I160" s="125">
        <v>1610.0</v>
      </c>
    </row>
    <row r="161">
      <c r="A161" s="84" t="s">
        <v>293</v>
      </c>
      <c r="B161" s="84" t="s">
        <v>215</v>
      </c>
      <c r="C161" s="84" t="s">
        <v>216</v>
      </c>
      <c r="D161" s="84" t="s">
        <v>284</v>
      </c>
      <c r="E161" s="125">
        <v>102.0</v>
      </c>
      <c r="F161" s="51">
        <f t="shared" si="1"/>
        <v>36.42857143</v>
      </c>
      <c r="G161" s="125">
        <f>E161+E162+E163</f>
        <v>280</v>
      </c>
      <c r="H161" s="125" t="s">
        <v>217</v>
      </c>
      <c r="I161" s="125">
        <v>102.0</v>
      </c>
    </row>
    <row r="162">
      <c r="A162" s="84" t="s">
        <v>293</v>
      </c>
      <c r="B162" s="84" t="s">
        <v>215</v>
      </c>
      <c r="C162" s="84" t="s">
        <v>216</v>
      </c>
      <c r="D162" s="84" t="s">
        <v>285</v>
      </c>
      <c r="E162" s="125">
        <v>160.0</v>
      </c>
      <c r="F162" s="51">
        <f t="shared" si="1"/>
        <v>57.14285714</v>
      </c>
      <c r="G162" s="125">
        <f t="shared" ref="G162:G163" si="57">G161</f>
        <v>280</v>
      </c>
      <c r="H162" s="125" t="s">
        <v>217</v>
      </c>
      <c r="I162" s="125">
        <v>160.0</v>
      </c>
    </row>
    <row r="163">
      <c r="A163" s="84" t="s">
        <v>293</v>
      </c>
      <c r="B163" s="84" t="s">
        <v>215</v>
      </c>
      <c r="C163" s="84" t="s">
        <v>216</v>
      </c>
      <c r="D163" s="84" t="s">
        <v>286</v>
      </c>
      <c r="E163" s="125">
        <v>18.0</v>
      </c>
      <c r="F163" s="51">
        <f t="shared" si="1"/>
        <v>6.428571429</v>
      </c>
      <c r="G163" s="125">
        <f t="shared" si="57"/>
        <v>280</v>
      </c>
      <c r="H163" s="125" t="s">
        <v>217</v>
      </c>
      <c r="I163" s="125">
        <v>18.0</v>
      </c>
    </row>
    <row r="164">
      <c r="A164" s="84" t="s">
        <v>293</v>
      </c>
      <c r="B164" s="84" t="s">
        <v>98</v>
      </c>
      <c r="C164" s="84" t="s">
        <v>106</v>
      </c>
      <c r="D164" s="84" t="s">
        <v>284</v>
      </c>
      <c r="E164" s="125">
        <v>371.0</v>
      </c>
      <c r="F164" s="51">
        <f t="shared" si="1"/>
        <v>14.69306931</v>
      </c>
      <c r="G164" s="125">
        <f>E164+E165+E166</f>
        <v>2525</v>
      </c>
      <c r="H164" s="125" t="s">
        <v>214</v>
      </c>
      <c r="I164" s="125">
        <v>371.0</v>
      </c>
    </row>
    <row r="165">
      <c r="A165" s="84" t="s">
        <v>293</v>
      </c>
      <c r="B165" s="84" t="s">
        <v>98</v>
      </c>
      <c r="C165" s="84" t="s">
        <v>106</v>
      </c>
      <c r="D165" s="84" t="s">
        <v>285</v>
      </c>
      <c r="E165" s="125">
        <v>2044.0</v>
      </c>
      <c r="F165" s="51">
        <f t="shared" si="1"/>
        <v>80.95049505</v>
      </c>
      <c r="G165" s="125">
        <f t="shared" ref="G165:G166" si="58">G164</f>
        <v>2525</v>
      </c>
      <c r="H165" s="125" t="s">
        <v>214</v>
      </c>
      <c r="I165" s="125">
        <v>2044.0</v>
      </c>
    </row>
    <row r="166">
      <c r="A166" s="84" t="s">
        <v>293</v>
      </c>
      <c r="B166" s="84" t="s">
        <v>98</v>
      </c>
      <c r="C166" s="84" t="s">
        <v>106</v>
      </c>
      <c r="D166" s="84" t="s">
        <v>286</v>
      </c>
      <c r="E166" s="125">
        <v>110.0</v>
      </c>
      <c r="F166" s="51">
        <f t="shared" si="1"/>
        <v>4.356435644</v>
      </c>
      <c r="G166" s="125">
        <f t="shared" si="58"/>
        <v>2525</v>
      </c>
      <c r="H166" s="125" t="s">
        <v>214</v>
      </c>
      <c r="I166" s="125">
        <v>110.0</v>
      </c>
    </row>
    <row r="167">
      <c r="A167" s="84" t="s">
        <v>294</v>
      </c>
      <c r="B167" s="84" t="s">
        <v>3</v>
      </c>
      <c r="C167" s="84" t="s">
        <v>241</v>
      </c>
      <c r="D167" s="84" t="s">
        <v>284</v>
      </c>
      <c r="E167" s="125">
        <v>3631.0</v>
      </c>
      <c r="F167" s="51">
        <f t="shared" si="1"/>
        <v>39.4588133</v>
      </c>
      <c r="G167" s="125">
        <f>E167+E168+E169</f>
        <v>9202</v>
      </c>
      <c r="H167" s="125" t="s">
        <v>242</v>
      </c>
      <c r="I167" s="125">
        <v>3631.0</v>
      </c>
    </row>
    <row r="168">
      <c r="A168" s="84" t="s">
        <v>294</v>
      </c>
      <c r="B168" s="84" t="s">
        <v>3</v>
      </c>
      <c r="C168" s="84" t="s">
        <v>241</v>
      </c>
      <c r="D168" s="84" t="s">
        <v>285</v>
      </c>
      <c r="E168" s="125">
        <v>4048.0</v>
      </c>
      <c r="F168" s="51">
        <f t="shared" si="1"/>
        <v>43.99043686</v>
      </c>
      <c r="G168" s="125">
        <f t="shared" ref="G168:G169" si="59">G167</f>
        <v>9202</v>
      </c>
      <c r="H168" s="125" t="s">
        <v>242</v>
      </c>
      <c r="I168" s="125">
        <v>4048.0</v>
      </c>
    </row>
    <row r="169">
      <c r="A169" s="84" t="s">
        <v>294</v>
      </c>
      <c r="B169" s="84" t="s">
        <v>3</v>
      </c>
      <c r="C169" s="84" t="s">
        <v>241</v>
      </c>
      <c r="D169" s="84" t="s">
        <v>286</v>
      </c>
      <c r="E169" s="125">
        <v>1523.0</v>
      </c>
      <c r="F169" s="51">
        <f t="shared" si="1"/>
        <v>16.55074984</v>
      </c>
      <c r="G169" s="125">
        <f t="shared" si="59"/>
        <v>9202</v>
      </c>
      <c r="H169" s="125" t="s">
        <v>242</v>
      </c>
      <c r="I169" s="125">
        <v>1523.0</v>
      </c>
    </row>
    <row r="170">
      <c r="A170" s="84" t="s">
        <v>294</v>
      </c>
      <c r="B170" s="84" t="s">
        <v>3</v>
      </c>
      <c r="C170" s="84" t="s">
        <v>243</v>
      </c>
      <c r="D170" s="84" t="s">
        <v>284</v>
      </c>
      <c r="E170" s="125">
        <v>97.0</v>
      </c>
      <c r="F170" s="51">
        <f t="shared" si="1"/>
        <v>5.903834449</v>
      </c>
      <c r="G170" s="125">
        <f>E170+E171+E172</f>
        <v>1643</v>
      </c>
      <c r="H170" s="125" t="s">
        <v>244</v>
      </c>
      <c r="I170" s="125">
        <v>97.0</v>
      </c>
    </row>
    <row r="171">
      <c r="A171" s="84" t="s">
        <v>294</v>
      </c>
      <c r="B171" s="84" t="s">
        <v>3</v>
      </c>
      <c r="C171" s="84" t="s">
        <v>243</v>
      </c>
      <c r="D171" s="84" t="s">
        <v>285</v>
      </c>
      <c r="E171" s="125">
        <v>979.0</v>
      </c>
      <c r="F171" s="51">
        <f t="shared" si="1"/>
        <v>59.58612295</v>
      </c>
      <c r="G171" s="125">
        <f t="shared" ref="G171:G172" si="60">G170</f>
        <v>1643</v>
      </c>
      <c r="H171" s="125" t="s">
        <v>244</v>
      </c>
      <c r="I171" s="125">
        <v>979.0</v>
      </c>
    </row>
    <row r="172">
      <c r="A172" s="84" t="s">
        <v>294</v>
      </c>
      <c r="B172" s="84" t="s">
        <v>3</v>
      </c>
      <c r="C172" s="84" t="s">
        <v>243</v>
      </c>
      <c r="D172" s="84" t="s">
        <v>286</v>
      </c>
      <c r="E172" s="125">
        <v>567.0</v>
      </c>
      <c r="F172" s="51">
        <f t="shared" si="1"/>
        <v>34.5100426</v>
      </c>
      <c r="G172" s="125">
        <f t="shared" si="60"/>
        <v>1643</v>
      </c>
      <c r="H172" s="125" t="s">
        <v>244</v>
      </c>
      <c r="I172" s="125">
        <v>567.0</v>
      </c>
    </row>
    <row r="173">
      <c r="A173" s="84" t="s">
        <v>294</v>
      </c>
      <c r="B173" s="84" t="s">
        <v>3</v>
      </c>
      <c r="C173" s="84" t="s">
        <v>245</v>
      </c>
      <c r="D173" s="84" t="s">
        <v>284</v>
      </c>
      <c r="E173" s="125">
        <v>30.0</v>
      </c>
      <c r="F173" s="51">
        <f t="shared" si="1"/>
        <v>4.132231405</v>
      </c>
      <c r="G173" s="125">
        <f>E173+E174+E175</f>
        <v>726</v>
      </c>
      <c r="H173" s="125" t="s">
        <v>246</v>
      </c>
      <c r="I173" s="125">
        <v>30.0</v>
      </c>
    </row>
    <row r="174">
      <c r="A174" s="84" t="s">
        <v>294</v>
      </c>
      <c r="B174" s="84" t="s">
        <v>3</v>
      </c>
      <c r="C174" s="84" t="s">
        <v>245</v>
      </c>
      <c r="D174" s="84" t="s">
        <v>285</v>
      </c>
      <c r="E174" s="125">
        <v>529.0</v>
      </c>
      <c r="F174" s="51">
        <f t="shared" si="1"/>
        <v>72.86501377</v>
      </c>
      <c r="G174" s="125">
        <f t="shared" ref="G174:G175" si="61">G173</f>
        <v>726</v>
      </c>
      <c r="H174" s="125" t="s">
        <v>246</v>
      </c>
      <c r="I174" s="125">
        <v>529.0</v>
      </c>
    </row>
    <row r="175">
      <c r="A175" s="84" t="s">
        <v>294</v>
      </c>
      <c r="B175" s="84" t="s">
        <v>3</v>
      </c>
      <c r="C175" s="84" t="s">
        <v>245</v>
      </c>
      <c r="D175" s="84" t="s">
        <v>286</v>
      </c>
      <c r="E175" s="125">
        <v>167.0</v>
      </c>
      <c r="F175" s="51">
        <f t="shared" si="1"/>
        <v>23.00275482</v>
      </c>
      <c r="G175" s="125">
        <f t="shared" si="61"/>
        <v>726</v>
      </c>
      <c r="H175" s="125" t="s">
        <v>246</v>
      </c>
      <c r="I175" s="125">
        <v>167.0</v>
      </c>
    </row>
    <row r="176">
      <c r="A176" s="84" t="s">
        <v>294</v>
      </c>
      <c r="B176" s="84" t="s">
        <v>3</v>
      </c>
      <c r="C176" s="84" t="s">
        <v>247</v>
      </c>
      <c r="D176" s="84" t="s">
        <v>284</v>
      </c>
      <c r="E176" s="125">
        <v>1.0</v>
      </c>
      <c r="F176" s="51">
        <f t="shared" si="1"/>
        <v>0.07082152975</v>
      </c>
      <c r="G176" s="125">
        <f>E176+E177+E178</f>
        <v>1412</v>
      </c>
      <c r="H176" s="125" t="s">
        <v>248</v>
      </c>
      <c r="I176" s="125">
        <v>1.0</v>
      </c>
    </row>
    <row r="177">
      <c r="A177" s="84" t="s">
        <v>294</v>
      </c>
      <c r="B177" s="84" t="s">
        <v>3</v>
      </c>
      <c r="C177" s="84" t="s">
        <v>247</v>
      </c>
      <c r="D177" s="84" t="s">
        <v>285</v>
      </c>
      <c r="E177" s="125">
        <v>1400.0</v>
      </c>
      <c r="F177" s="51">
        <f t="shared" si="1"/>
        <v>99.15014164</v>
      </c>
      <c r="G177" s="125">
        <f t="shared" ref="G177:G178" si="62">G176</f>
        <v>1412</v>
      </c>
      <c r="H177" s="125" t="s">
        <v>248</v>
      </c>
      <c r="I177" s="125">
        <v>1400.0</v>
      </c>
    </row>
    <row r="178">
      <c r="A178" s="84" t="s">
        <v>294</v>
      </c>
      <c r="B178" s="84" t="s">
        <v>3</v>
      </c>
      <c r="C178" s="84" t="s">
        <v>247</v>
      </c>
      <c r="D178" s="84" t="s">
        <v>286</v>
      </c>
      <c r="E178" s="125">
        <v>11.0</v>
      </c>
      <c r="F178" s="51">
        <f t="shared" si="1"/>
        <v>0.7790368272</v>
      </c>
      <c r="G178" s="125">
        <f t="shared" si="62"/>
        <v>1412</v>
      </c>
      <c r="H178" s="125" t="s">
        <v>248</v>
      </c>
      <c r="I178" s="125">
        <v>11.0</v>
      </c>
    </row>
    <row r="179">
      <c r="A179" s="84" t="s">
        <v>294</v>
      </c>
      <c r="B179" s="84" t="s">
        <v>3</v>
      </c>
      <c r="C179" s="84" t="s">
        <v>225</v>
      </c>
      <c r="D179" s="84" t="s">
        <v>284</v>
      </c>
      <c r="E179" s="125">
        <v>999.0</v>
      </c>
      <c r="F179" s="51">
        <f t="shared" si="1"/>
        <v>39.70588235</v>
      </c>
      <c r="G179" s="125">
        <f>E179+E180+E181</f>
        <v>2516</v>
      </c>
      <c r="H179" s="125" t="s">
        <v>226</v>
      </c>
      <c r="I179" s="125">
        <v>999.0</v>
      </c>
    </row>
    <row r="180">
      <c r="A180" s="84" t="s">
        <v>294</v>
      </c>
      <c r="B180" s="84" t="s">
        <v>3</v>
      </c>
      <c r="C180" s="84" t="s">
        <v>225</v>
      </c>
      <c r="D180" s="84" t="s">
        <v>285</v>
      </c>
      <c r="E180" s="125">
        <v>1243.0</v>
      </c>
      <c r="F180" s="51">
        <f t="shared" si="1"/>
        <v>49.40381558</v>
      </c>
      <c r="G180" s="125">
        <f t="shared" ref="G180:G181" si="63">G179</f>
        <v>2516</v>
      </c>
      <c r="H180" s="125" t="s">
        <v>226</v>
      </c>
      <c r="I180" s="125">
        <v>1243.0</v>
      </c>
    </row>
    <row r="181">
      <c r="A181" s="84" t="s">
        <v>294</v>
      </c>
      <c r="B181" s="84" t="s">
        <v>3</v>
      </c>
      <c r="C181" s="84" t="s">
        <v>225</v>
      </c>
      <c r="D181" s="84" t="s">
        <v>286</v>
      </c>
      <c r="E181" s="125">
        <v>274.0</v>
      </c>
      <c r="F181" s="51">
        <f t="shared" si="1"/>
        <v>10.89030207</v>
      </c>
      <c r="G181" s="125">
        <f t="shared" si="63"/>
        <v>2516</v>
      </c>
      <c r="H181" s="125" t="s">
        <v>226</v>
      </c>
      <c r="I181" s="125">
        <v>274.0</v>
      </c>
    </row>
    <row r="182">
      <c r="A182" s="84" t="s">
        <v>294</v>
      </c>
      <c r="B182" s="84" t="s">
        <v>3</v>
      </c>
      <c r="C182" s="84" t="s">
        <v>227</v>
      </c>
      <c r="D182" s="84" t="s">
        <v>284</v>
      </c>
      <c r="E182" s="125">
        <v>80.0</v>
      </c>
      <c r="F182" s="51">
        <f t="shared" si="1"/>
        <v>27.77777778</v>
      </c>
      <c r="G182" s="125">
        <f>E182+E183+E184</f>
        <v>288</v>
      </c>
      <c r="H182" s="125" t="s">
        <v>228</v>
      </c>
      <c r="I182" s="125">
        <v>80.0</v>
      </c>
    </row>
    <row r="183">
      <c r="A183" s="84" t="s">
        <v>294</v>
      </c>
      <c r="B183" s="84" t="s">
        <v>3</v>
      </c>
      <c r="C183" s="84" t="s">
        <v>227</v>
      </c>
      <c r="D183" s="84" t="s">
        <v>285</v>
      </c>
      <c r="E183" s="125">
        <v>151.0</v>
      </c>
      <c r="F183" s="51">
        <f t="shared" si="1"/>
        <v>52.43055556</v>
      </c>
      <c r="G183" s="125">
        <f t="shared" ref="G183:G184" si="64">G182</f>
        <v>288</v>
      </c>
      <c r="H183" s="125" t="s">
        <v>228</v>
      </c>
      <c r="I183" s="125">
        <v>151.0</v>
      </c>
    </row>
    <row r="184">
      <c r="A184" s="84" t="s">
        <v>294</v>
      </c>
      <c r="B184" s="84" t="s">
        <v>3</v>
      </c>
      <c r="C184" s="84" t="s">
        <v>227</v>
      </c>
      <c r="D184" s="84" t="s">
        <v>286</v>
      </c>
      <c r="E184" s="125">
        <v>57.0</v>
      </c>
      <c r="F184" s="51">
        <f t="shared" si="1"/>
        <v>19.79166667</v>
      </c>
      <c r="G184" s="125">
        <f t="shared" si="64"/>
        <v>288</v>
      </c>
      <c r="H184" s="125" t="s">
        <v>228</v>
      </c>
      <c r="I184" s="125">
        <v>57.0</v>
      </c>
    </row>
    <row r="185">
      <c r="A185" s="84" t="s">
        <v>294</v>
      </c>
      <c r="B185" s="84" t="s">
        <v>3</v>
      </c>
      <c r="C185" s="84" t="s">
        <v>229</v>
      </c>
      <c r="D185" s="84" t="s">
        <v>284</v>
      </c>
      <c r="E185" s="125">
        <v>10.0</v>
      </c>
      <c r="F185" s="51">
        <f t="shared" si="1"/>
        <v>2.958579882</v>
      </c>
      <c r="G185" s="125">
        <f>E185+E186+E187</f>
        <v>338</v>
      </c>
      <c r="H185" s="125" t="s">
        <v>230</v>
      </c>
      <c r="I185" s="125">
        <v>10.0</v>
      </c>
    </row>
    <row r="186">
      <c r="A186" s="84" t="s">
        <v>294</v>
      </c>
      <c r="B186" s="84" t="s">
        <v>3</v>
      </c>
      <c r="C186" s="84" t="s">
        <v>229</v>
      </c>
      <c r="D186" s="84" t="s">
        <v>285</v>
      </c>
      <c r="E186" s="125">
        <v>301.0</v>
      </c>
      <c r="F186" s="51">
        <f t="shared" si="1"/>
        <v>89.05325444</v>
      </c>
      <c r="G186" s="125">
        <f t="shared" ref="G186:G187" si="65">G185</f>
        <v>338</v>
      </c>
      <c r="H186" s="125" t="s">
        <v>230</v>
      </c>
      <c r="I186" s="125">
        <v>301.0</v>
      </c>
    </row>
    <row r="187">
      <c r="A187" s="84" t="s">
        <v>294</v>
      </c>
      <c r="B187" s="84" t="s">
        <v>3</v>
      </c>
      <c r="C187" s="84" t="s">
        <v>229</v>
      </c>
      <c r="D187" s="84" t="s">
        <v>286</v>
      </c>
      <c r="E187" s="125">
        <v>27.0</v>
      </c>
      <c r="F187" s="51">
        <f t="shared" si="1"/>
        <v>7.98816568</v>
      </c>
      <c r="G187" s="125">
        <f t="shared" si="65"/>
        <v>338</v>
      </c>
      <c r="H187" s="125" t="s">
        <v>230</v>
      </c>
      <c r="I187" s="125">
        <v>27.0</v>
      </c>
    </row>
    <row r="188">
      <c r="A188" s="84" t="s">
        <v>294</v>
      </c>
      <c r="B188" s="84" t="s">
        <v>3</v>
      </c>
      <c r="C188" s="84" t="s">
        <v>231</v>
      </c>
      <c r="D188" s="84" t="s">
        <v>284</v>
      </c>
      <c r="E188" s="125">
        <v>0.0</v>
      </c>
      <c r="F188" s="51">
        <f t="shared" si="1"/>
        <v>0</v>
      </c>
      <c r="G188" s="125">
        <f>E188+E189+E190</f>
        <v>271</v>
      </c>
      <c r="H188" s="125" t="s">
        <v>232</v>
      </c>
      <c r="I188" s="125">
        <v>0.0</v>
      </c>
    </row>
    <row r="189">
      <c r="A189" s="84" t="s">
        <v>294</v>
      </c>
      <c r="B189" s="84" t="s">
        <v>3</v>
      </c>
      <c r="C189" s="84" t="s">
        <v>231</v>
      </c>
      <c r="D189" s="84" t="s">
        <v>285</v>
      </c>
      <c r="E189" s="125">
        <v>268.0</v>
      </c>
      <c r="F189" s="51">
        <f t="shared" si="1"/>
        <v>98.89298893</v>
      </c>
      <c r="G189" s="125">
        <f t="shared" ref="G189:G190" si="66">G188</f>
        <v>271</v>
      </c>
      <c r="H189" s="125" t="s">
        <v>232</v>
      </c>
      <c r="I189" s="125">
        <v>268.0</v>
      </c>
    </row>
    <row r="190">
      <c r="A190" s="84" t="s">
        <v>294</v>
      </c>
      <c r="B190" s="84" t="s">
        <v>3</v>
      </c>
      <c r="C190" s="84" t="s">
        <v>231</v>
      </c>
      <c r="D190" s="84" t="s">
        <v>286</v>
      </c>
      <c r="E190" s="125">
        <v>3.0</v>
      </c>
      <c r="F190" s="51">
        <f t="shared" si="1"/>
        <v>1.10701107</v>
      </c>
      <c r="G190" s="125">
        <f t="shared" si="66"/>
        <v>271</v>
      </c>
      <c r="H190" s="125" t="s">
        <v>232</v>
      </c>
      <c r="I190" s="125">
        <v>3.0</v>
      </c>
    </row>
    <row r="191">
      <c r="A191" s="84" t="s">
        <v>294</v>
      </c>
      <c r="B191" s="84" t="s">
        <v>3</v>
      </c>
      <c r="C191" s="84" t="s">
        <v>249</v>
      </c>
      <c r="D191" s="84" t="s">
        <v>284</v>
      </c>
      <c r="E191" s="125">
        <v>851.0</v>
      </c>
      <c r="F191" s="51">
        <f t="shared" si="1"/>
        <v>39.65517241</v>
      </c>
      <c r="G191" s="125">
        <f>E191+E192+E193</f>
        <v>2146</v>
      </c>
      <c r="H191" s="125" t="s">
        <v>250</v>
      </c>
      <c r="I191" s="125">
        <v>851.0</v>
      </c>
    </row>
    <row r="192">
      <c r="A192" s="84" t="s">
        <v>294</v>
      </c>
      <c r="B192" s="84" t="s">
        <v>3</v>
      </c>
      <c r="C192" s="84" t="s">
        <v>249</v>
      </c>
      <c r="D192" s="84" t="s">
        <v>285</v>
      </c>
      <c r="E192" s="125">
        <v>1211.0</v>
      </c>
      <c r="F192" s="51">
        <f t="shared" si="1"/>
        <v>56.4305685</v>
      </c>
      <c r="G192" s="125">
        <f t="shared" ref="G192:G193" si="67">G191</f>
        <v>2146</v>
      </c>
      <c r="H192" s="125" t="s">
        <v>250</v>
      </c>
      <c r="I192" s="125">
        <v>1211.0</v>
      </c>
    </row>
    <row r="193">
      <c r="A193" s="84" t="s">
        <v>294</v>
      </c>
      <c r="B193" s="84" t="s">
        <v>3</v>
      </c>
      <c r="C193" s="84" t="s">
        <v>249</v>
      </c>
      <c r="D193" s="84" t="s">
        <v>286</v>
      </c>
      <c r="E193" s="125">
        <v>84.0</v>
      </c>
      <c r="F193" s="51">
        <f t="shared" si="1"/>
        <v>3.914259087</v>
      </c>
      <c r="G193" s="125">
        <f t="shared" si="67"/>
        <v>2146</v>
      </c>
      <c r="H193" s="125" t="s">
        <v>250</v>
      </c>
      <c r="I193" s="125">
        <v>84.0</v>
      </c>
    </row>
    <row r="194">
      <c r="A194" s="84" t="s">
        <v>294</v>
      </c>
      <c r="B194" s="84" t="s">
        <v>3</v>
      </c>
      <c r="C194" s="84" t="s">
        <v>251</v>
      </c>
      <c r="D194" s="84" t="s">
        <v>284</v>
      </c>
      <c r="E194" s="125">
        <v>26.0</v>
      </c>
      <c r="F194" s="51">
        <f t="shared" si="1"/>
        <v>6.718346253</v>
      </c>
      <c r="G194" s="125">
        <f>E194+E195+E196</f>
        <v>387</v>
      </c>
      <c r="H194" s="125" t="s">
        <v>252</v>
      </c>
      <c r="I194" s="125">
        <v>26.0</v>
      </c>
    </row>
    <row r="195">
      <c r="A195" s="84" t="s">
        <v>294</v>
      </c>
      <c r="B195" s="84" t="s">
        <v>3</v>
      </c>
      <c r="C195" s="84" t="s">
        <v>251</v>
      </c>
      <c r="D195" s="84" t="s">
        <v>285</v>
      </c>
      <c r="E195" s="125">
        <v>344.0</v>
      </c>
      <c r="F195" s="51">
        <f t="shared" si="1"/>
        <v>88.88888889</v>
      </c>
      <c r="G195" s="125">
        <f t="shared" ref="G195:G196" si="68">G194</f>
        <v>387</v>
      </c>
      <c r="H195" s="125" t="s">
        <v>252</v>
      </c>
      <c r="I195" s="125">
        <v>344.0</v>
      </c>
    </row>
    <row r="196">
      <c r="A196" s="84" t="s">
        <v>294</v>
      </c>
      <c r="B196" s="84" t="s">
        <v>3</v>
      </c>
      <c r="C196" s="84" t="s">
        <v>251</v>
      </c>
      <c r="D196" s="84" t="s">
        <v>286</v>
      </c>
      <c r="E196" s="125">
        <v>17.0</v>
      </c>
      <c r="F196" s="51">
        <f t="shared" si="1"/>
        <v>4.392764858</v>
      </c>
      <c r="G196" s="125">
        <f t="shared" si="68"/>
        <v>387</v>
      </c>
      <c r="H196" s="125" t="s">
        <v>252</v>
      </c>
      <c r="I196" s="125">
        <v>17.0</v>
      </c>
    </row>
    <row r="197">
      <c r="A197" s="84" t="s">
        <v>294</v>
      </c>
      <c r="B197" s="84" t="s">
        <v>3</v>
      </c>
      <c r="C197" s="84" t="s">
        <v>253</v>
      </c>
      <c r="D197" s="84" t="s">
        <v>284</v>
      </c>
      <c r="E197" s="125">
        <v>4.0</v>
      </c>
      <c r="F197" s="51">
        <f t="shared" si="1"/>
        <v>2.5</v>
      </c>
      <c r="G197" s="125">
        <f>E197+E198+E199</f>
        <v>160</v>
      </c>
      <c r="H197" s="125" t="s">
        <v>254</v>
      </c>
      <c r="I197" s="125">
        <v>4.0</v>
      </c>
    </row>
    <row r="198">
      <c r="A198" s="84" t="s">
        <v>294</v>
      </c>
      <c r="B198" s="84" t="s">
        <v>3</v>
      </c>
      <c r="C198" s="84" t="s">
        <v>253</v>
      </c>
      <c r="D198" s="84" t="s">
        <v>285</v>
      </c>
      <c r="E198" s="125">
        <v>148.0</v>
      </c>
      <c r="F198" s="51">
        <f t="shared" si="1"/>
        <v>92.5</v>
      </c>
      <c r="G198" s="125">
        <f t="shared" ref="G198:G199" si="69">G197</f>
        <v>160</v>
      </c>
      <c r="H198" s="125" t="s">
        <v>254</v>
      </c>
      <c r="I198" s="125">
        <v>148.0</v>
      </c>
    </row>
    <row r="199">
      <c r="A199" s="84" t="s">
        <v>294</v>
      </c>
      <c r="B199" s="84" t="s">
        <v>3</v>
      </c>
      <c r="C199" s="84" t="s">
        <v>253</v>
      </c>
      <c r="D199" s="84" t="s">
        <v>286</v>
      </c>
      <c r="E199" s="125">
        <v>8.0</v>
      </c>
      <c r="F199" s="51">
        <f t="shared" si="1"/>
        <v>5</v>
      </c>
      <c r="G199" s="125">
        <f t="shared" si="69"/>
        <v>160</v>
      </c>
      <c r="H199" s="125" t="s">
        <v>254</v>
      </c>
      <c r="I199" s="125">
        <v>8.0</v>
      </c>
    </row>
    <row r="200">
      <c r="A200" s="84" t="s">
        <v>294</v>
      </c>
      <c r="B200" s="84" t="s">
        <v>3</v>
      </c>
      <c r="C200" s="84" t="s">
        <v>255</v>
      </c>
      <c r="D200" s="84" t="s">
        <v>284</v>
      </c>
      <c r="E200" s="125">
        <v>0.0</v>
      </c>
      <c r="F200" s="51">
        <f t="shared" si="1"/>
        <v>0</v>
      </c>
      <c r="G200" s="125">
        <f>E200+E201+E202</f>
        <v>665</v>
      </c>
      <c r="H200" s="125" t="s">
        <v>256</v>
      </c>
      <c r="I200" s="125">
        <v>0.0</v>
      </c>
    </row>
    <row r="201">
      <c r="A201" s="84" t="s">
        <v>294</v>
      </c>
      <c r="B201" s="84" t="s">
        <v>3</v>
      </c>
      <c r="C201" s="84" t="s">
        <v>255</v>
      </c>
      <c r="D201" s="84" t="s">
        <v>285</v>
      </c>
      <c r="E201" s="125">
        <v>663.0</v>
      </c>
      <c r="F201" s="51">
        <f t="shared" si="1"/>
        <v>99.69924812</v>
      </c>
      <c r="G201" s="125">
        <f t="shared" ref="G201:G202" si="70">G200</f>
        <v>665</v>
      </c>
      <c r="H201" s="125" t="s">
        <v>256</v>
      </c>
      <c r="I201" s="125">
        <v>663.0</v>
      </c>
    </row>
    <row r="202">
      <c r="A202" s="84" t="s">
        <v>294</v>
      </c>
      <c r="B202" s="84" t="s">
        <v>3</v>
      </c>
      <c r="C202" s="84" t="s">
        <v>255</v>
      </c>
      <c r="D202" s="84" t="s">
        <v>286</v>
      </c>
      <c r="E202" s="125">
        <v>2.0</v>
      </c>
      <c r="F202" s="51">
        <f t="shared" si="1"/>
        <v>0.3007518797</v>
      </c>
      <c r="G202" s="125">
        <f t="shared" si="70"/>
        <v>665</v>
      </c>
      <c r="H202" s="125" t="s">
        <v>256</v>
      </c>
      <c r="I202" s="125">
        <v>2.0</v>
      </c>
    </row>
    <row r="203">
      <c r="A203" s="84" t="s">
        <v>294</v>
      </c>
      <c r="B203" s="84" t="s">
        <v>3</v>
      </c>
      <c r="C203" s="84" t="s">
        <v>233</v>
      </c>
      <c r="D203" s="84" t="s">
        <v>284</v>
      </c>
      <c r="E203" s="125">
        <v>364.0</v>
      </c>
      <c r="F203" s="51">
        <f t="shared" si="1"/>
        <v>27.45098039</v>
      </c>
      <c r="G203" s="125">
        <f>E203+E204+E205</f>
        <v>1326</v>
      </c>
      <c r="H203" s="125" t="s">
        <v>234</v>
      </c>
      <c r="I203" s="125">
        <v>364.0</v>
      </c>
    </row>
    <row r="204">
      <c r="A204" s="84" t="s">
        <v>294</v>
      </c>
      <c r="B204" s="84" t="s">
        <v>3</v>
      </c>
      <c r="C204" s="84" t="s">
        <v>233</v>
      </c>
      <c r="D204" s="84" t="s">
        <v>285</v>
      </c>
      <c r="E204" s="125">
        <v>894.0</v>
      </c>
      <c r="F204" s="51">
        <f t="shared" si="1"/>
        <v>67.42081448</v>
      </c>
      <c r="G204" s="125">
        <f t="shared" ref="G204:G205" si="71">G203</f>
        <v>1326</v>
      </c>
      <c r="H204" s="125" t="s">
        <v>234</v>
      </c>
      <c r="I204" s="125">
        <v>894.0</v>
      </c>
    </row>
    <row r="205">
      <c r="A205" s="84" t="s">
        <v>294</v>
      </c>
      <c r="B205" s="84" t="s">
        <v>3</v>
      </c>
      <c r="C205" s="84" t="s">
        <v>233</v>
      </c>
      <c r="D205" s="84" t="s">
        <v>286</v>
      </c>
      <c r="E205" s="125">
        <v>68.0</v>
      </c>
      <c r="F205" s="51">
        <f t="shared" si="1"/>
        <v>5.128205128</v>
      </c>
      <c r="G205" s="125">
        <f t="shared" si="71"/>
        <v>1326</v>
      </c>
      <c r="H205" s="125" t="s">
        <v>234</v>
      </c>
      <c r="I205" s="125">
        <v>68.0</v>
      </c>
    </row>
    <row r="206">
      <c r="A206" s="84" t="s">
        <v>294</v>
      </c>
      <c r="B206" s="84" t="s">
        <v>3</v>
      </c>
      <c r="C206" s="84" t="s">
        <v>235</v>
      </c>
      <c r="D206" s="84" t="s">
        <v>284</v>
      </c>
      <c r="E206" s="125">
        <v>14.0</v>
      </c>
      <c r="F206" s="51">
        <f t="shared" si="1"/>
        <v>11.38211382</v>
      </c>
      <c r="G206" s="125">
        <f>E206+E207+E208</f>
        <v>123</v>
      </c>
      <c r="H206" s="125" t="s">
        <v>236</v>
      </c>
      <c r="I206" s="125">
        <v>14.0</v>
      </c>
    </row>
    <row r="207">
      <c r="A207" s="84" t="s">
        <v>294</v>
      </c>
      <c r="B207" s="84" t="s">
        <v>3</v>
      </c>
      <c r="C207" s="84" t="s">
        <v>235</v>
      </c>
      <c r="D207" s="84" t="s">
        <v>285</v>
      </c>
      <c r="E207" s="125">
        <v>99.0</v>
      </c>
      <c r="F207" s="51">
        <f t="shared" si="1"/>
        <v>80.48780488</v>
      </c>
      <c r="G207" s="125">
        <f t="shared" ref="G207:G208" si="72">G206</f>
        <v>123</v>
      </c>
      <c r="H207" s="125" t="s">
        <v>236</v>
      </c>
      <c r="I207" s="125">
        <v>99.0</v>
      </c>
    </row>
    <row r="208">
      <c r="A208" s="84" t="s">
        <v>294</v>
      </c>
      <c r="B208" s="84" t="s">
        <v>3</v>
      </c>
      <c r="C208" s="84" t="s">
        <v>235</v>
      </c>
      <c r="D208" s="84" t="s">
        <v>286</v>
      </c>
      <c r="E208" s="125">
        <v>10.0</v>
      </c>
      <c r="F208" s="51">
        <f t="shared" si="1"/>
        <v>8.130081301</v>
      </c>
      <c r="G208" s="125">
        <f t="shared" si="72"/>
        <v>123</v>
      </c>
      <c r="H208" s="125" t="s">
        <v>236</v>
      </c>
      <c r="I208" s="125">
        <v>10.0</v>
      </c>
    </row>
    <row r="209">
      <c r="A209" s="84" t="s">
        <v>294</v>
      </c>
      <c r="B209" s="84" t="s">
        <v>3</v>
      </c>
      <c r="C209" s="84" t="s">
        <v>237</v>
      </c>
      <c r="D209" s="84" t="s">
        <v>284</v>
      </c>
      <c r="E209" s="125">
        <v>5.0</v>
      </c>
      <c r="F209" s="51">
        <f t="shared" si="1"/>
        <v>3.424657534</v>
      </c>
      <c r="G209" s="125">
        <f>E209+E210+E211</f>
        <v>146</v>
      </c>
      <c r="H209" s="125" t="s">
        <v>238</v>
      </c>
      <c r="I209" s="125">
        <v>5.0</v>
      </c>
    </row>
    <row r="210">
      <c r="A210" s="84" t="s">
        <v>294</v>
      </c>
      <c r="B210" s="84" t="s">
        <v>3</v>
      </c>
      <c r="C210" s="84" t="s">
        <v>237</v>
      </c>
      <c r="D210" s="84" t="s">
        <v>285</v>
      </c>
      <c r="E210" s="125">
        <v>135.0</v>
      </c>
      <c r="F210" s="51">
        <f t="shared" si="1"/>
        <v>92.46575342</v>
      </c>
      <c r="G210" s="125">
        <f t="shared" ref="G210:G211" si="73">G209</f>
        <v>146</v>
      </c>
      <c r="H210" s="125" t="s">
        <v>238</v>
      </c>
      <c r="I210" s="125">
        <v>135.0</v>
      </c>
    </row>
    <row r="211">
      <c r="A211" s="84" t="s">
        <v>294</v>
      </c>
      <c r="B211" s="84" t="s">
        <v>3</v>
      </c>
      <c r="C211" s="84" t="s">
        <v>237</v>
      </c>
      <c r="D211" s="84" t="s">
        <v>286</v>
      </c>
      <c r="E211" s="125">
        <v>6.0</v>
      </c>
      <c r="F211" s="51">
        <f t="shared" si="1"/>
        <v>4.109589041</v>
      </c>
      <c r="G211" s="125">
        <f t="shared" si="73"/>
        <v>146</v>
      </c>
      <c r="H211" s="125" t="s">
        <v>238</v>
      </c>
      <c r="I211" s="125">
        <v>6.0</v>
      </c>
    </row>
    <row r="212">
      <c r="A212" s="84" t="s">
        <v>294</v>
      </c>
      <c r="B212" s="84" t="s">
        <v>3</v>
      </c>
      <c r="C212" s="84" t="s">
        <v>239</v>
      </c>
      <c r="D212" s="84" t="s">
        <v>284</v>
      </c>
      <c r="E212" s="125">
        <v>0.0</v>
      </c>
      <c r="F212" s="51">
        <f t="shared" si="1"/>
        <v>0</v>
      </c>
      <c r="G212" s="125">
        <f>E212+E213+E214</f>
        <v>20</v>
      </c>
      <c r="H212" s="125" t="s">
        <v>240</v>
      </c>
      <c r="I212" s="125">
        <v>0.0</v>
      </c>
    </row>
    <row r="213">
      <c r="A213" s="84" t="s">
        <v>294</v>
      </c>
      <c r="B213" s="84" t="s">
        <v>3</v>
      </c>
      <c r="C213" s="84" t="s">
        <v>239</v>
      </c>
      <c r="D213" s="84" t="s">
        <v>285</v>
      </c>
      <c r="E213" s="125">
        <v>16.0</v>
      </c>
      <c r="F213" s="51">
        <f t="shared" si="1"/>
        <v>80</v>
      </c>
      <c r="G213" s="125">
        <f t="shared" ref="G213:G214" si="74">G212</f>
        <v>20</v>
      </c>
      <c r="H213" s="125" t="s">
        <v>240</v>
      </c>
      <c r="I213" s="125">
        <v>16.0</v>
      </c>
    </row>
    <row r="214">
      <c r="A214" s="84" t="s">
        <v>294</v>
      </c>
      <c r="B214" s="84" t="s">
        <v>3</v>
      </c>
      <c r="C214" s="84" t="s">
        <v>239</v>
      </c>
      <c r="D214" s="84" t="s">
        <v>286</v>
      </c>
      <c r="E214" s="125">
        <v>4.0</v>
      </c>
      <c r="F214" s="51">
        <f t="shared" si="1"/>
        <v>20</v>
      </c>
      <c r="G214" s="125">
        <f t="shared" si="74"/>
        <v>20</v>
      </c>
      <c r="H214" s="125" t="s">
        <v>240</v>
      </c>
      <c r="I214" s="125">
        <v>4.0</v>
      </c>
    </row>
    <row r="215">
      <c r="A215" s="84" t="s">
        <v>294</v>
      </c>
      <c r="B215" s="84" t="s">
        <v>3</v>
      </c>
      <c r="C215" s="84" t="s">
        <v>257</v>
      </c>
      <c r="D215" s="84" t="s">
        <v>284</v>
      </c>
      <c r="E215" s="125">
        <v>203.0</v>
      </c>
      <c r="F215" s="51">
        <f t="shared" si="1"/>
        <v>35.18197574</v>
      </c>
      <c r="G215" s="125">
        <f>E215+E216+E217</f>
        <v>577</v>
      </c>
      <c r="H215" s="125" t="s">
        <v>258</v>
      </c>
      <c r="I215" s="125">
        <v>203.0</v>
      </c>
    </row>
    <row r="216">
      <c r="A216" s="84" t="s">
        <v>294</v>
      </c>
      <c r="B216" s="84" t="s">
        <v>3</v>
      </c>
      <c r="C216" s="84" t="s">
        <v>257</v>
      </c>
      <c r="D216" s="84" t="s">
        <v>285</v>
      </c>
      <c r="E216" s="125">
        <v>318.0</v>
      </c>
      <c r="F216" s="51">
        <f t="shared" si="1"/>
        <v>55.11265165</v>
      </c>
      <c r="G216" s="125">
        <f t="shared" ref="G216:G217" si="75">G215</f>
        <v>577</v>
      </c>
      <c r="H216" s="125" t="s">
        <v>258</v>
      </c>
      <c r="I216" s="125">
        <v>318.0</v>
      </c>
    </row>
    <row r="217">
      <c r="A217" s="84" t="s">
        <v>294</v>
      </c>
      <c r="B217" s="84" t="s">
        <v>3</v>
      </c>
      <c r="C217" s="84" t="s">
        <v>257</v>
      </c>
      <c r="D217" s="84" t="s">
        <v>286</v>
      </c>
      <c r="E217" s="125">
        <v>56.0</v>
      </c>
      <c r="F217" s="51">
        <f t="shared" si="1"/>
        <v>9.705372617</v>
      </c>
      <c r="G217" s="125">
        <f t="shared" si="75"/>
        <v>577</v>
      </c>
      <c r="H217" s="125" t="s">
        <v>258</v>
      </c>
      <c r="I217" s="125">
        <v>56.0</v>
      </c>
    </row>
    <row r="218">
      <c r="A218" s="84" t="s">
        <v>294</v>
      </c>
      <c r="B218" s="84" t="s">
        <v>3</v>
      </c>
      <c r="C218" s="84" t="s">
        <v>259</v>
      </c>
      <c r="D218" s="84" t="s">
        <v>284</v>
      </c>
      <c r="E218" s="125">
        <v>4.0</v>
      </c>
      <c r="F218" s="51">
        <f t="shared" si="1"/>
        <v>3.773584906</v>
      </c>
      <c r="G218" s="125">
        <f>E218+E219+E220</f>
        <v>106</v>
      </c>
      <c r="H218" s="125" t="s">
        <v>260</v>
      </c>
      <c r="I218" s="125">
        <v>4.0</v>
      </c>
    </row>
    <row r="219">
      <c r="A219" s="84" t="s">
        <v>294</v>
      </c>
      <c r="B219" s="84" t="s">
        <v>3</v>
      </c>
      <c r="C219" s="84" t="s">
        <v>259</v>
      </c>
      <c r="D219" s="84" t="s">
        <v>285</v>
      </c>
      <c r="E219" s="125">
        <v>91.0</v>
      </c>
      <c r="F219" s="51">
        <f t="shared" si="1"/>
        <v>85.8490566</v>
      </c>
      <c r="G219" s="125">
        <f t="shared" ref="G219:G220" si="76">G218</f>
        <v>106</v>
      </c>
      <c r="H219" s="125" t="s">
        <v>260</v>
      </c>
      <c r="I219" s="125">
        <v>91.0</v>
      </c>
    </row>
    <row r="220">
      <c r="A220" s="84" t="s">
        <v>294</v>
      </c>
      <c r="B220" s="84" t="s">
        <v>3</v>
      </c>
      <c r="C220" s="84" t="s">
        <v>259</v>
      </c>
      <c r="D220" s="84" t="s">
        <v>286</v>
      </c>
      <c r="E220" s="125">
        <v>11.0</v>
      </c>
      <c r="F220" s="51">
        <f t="shared" si="1"/>
        <v>10.37735849</v>
      </c>
      <c r="G220" s="125">
        <f t="shared" si="76"/>
        <v>106</v>
      </c>
      <c r="H220" s="125" t="s">
        <v>260</v>
      </c>
      <c r="I220" s="125">
        <v>11.0</v>
      </c>
    </row>
    <row r="221">
      <c r="A221" s="84" t="s">
        <v>294</v>
      </c>
      <c r="B221" s="84" t="s">
        <v>3</v>
      </c>
      <c r="C221" s="84" t="s">
        <v>261</v>
      </c>
      <c r="D221" s="84" t="s">
        <v>284</v>
      </c>
      <c r="E221" s="125">
        <v>0.0</v>
      </c>
      <c r="F221" s="51">
        <f t="shared" si="1"/>
        <v>0</v>
      </c>
      <c r="G221" s="125">
        <f>E221+E222+E223</f>
        <v>45</v>
      </c>
      <c r="H221" s="125" t="s">
        <v>262</v>
      </c>
      <c r="I221" s="125">
        <v>0.0</v>
      </c>
    </row>
    <row r="222">
      <c r="A222" s="84" t="s">
        <v>294</v>
      </c>
      <c r="B222" s="84" t="s">
        <v>3</v>
      </c>
      <c r="C222" s="84" t="s">
        <v>261</v>
      </c>
      <c r="D222" s="84" t="s">
        <v>285</v>
      </c>
      <c r="E222" s="125">
        <v>42.0</v>
      </c>
      <c r="F222" s="51">
        <f t="shared" si="1"/>
        <v>93.33333333</v>
      </c>
      <c r="G222" s="125">
        <f t="shared" ref="G222:G223" si="77">G221</f>
        <v>45</v>
      </c>
      <c r="H222" s="125" t="s">
        <v>262</v>
      </c>
      <c r="I222" s="125">
        <v>42.0</v>
      </c>
    </row>
    <row r="223">
      <c r="A223" s="84" t="s">
        <v>294</v>
      </c>
      <c r="B223" s="84" t="s">
        <v>3</v>
      </c>
      <c r="C223" s="84" t="s">
        <v>261</v>
      </c>
      <c r="D223" s="84" t="s">
        <v>286</v>
      </c>
      <c r="E223" s="125">
        <v>3.0</v>
      </c>
      <c r="F223" s="51">
        <f t="shared" si="1"/>
        <v>6.666666667</v>
      </c>
      <c r="G223" s="125">
        <f t="shared" si="77"/>
        <v>45</v>
      </c>
      <c r="H223" s="125" t="s">
        <v>262</v>
      </c>
      <c r="I223" s="125">
        <v>3.0</v>
      </c>
    </row>
    <row r="224">
      <c r="A224" s="84" t="s">
        <v>294</v>
      </c>
      <c r="B224" s="84" t="s">
        <v>3</v>
      </c>
      <c r="C224" s="84" t="s">
        <v>263</v>
      </c>
      <c r="D224" s="84" t="s">
        <v>284</v>
      </c>
      <c r="E224" s="125">
        <v>0.0</v>
      </c>
      <c r="F224" s="51">
        <f t="shared" si="1"/>
        <v>0</v>
      </c>
      <c r="G224" s="125">
        <f>E224+E225+E226</f>
        <v>105</v>
      </c>
      <c r="H224" s="125" t="s">
        <v>264</v>
      </c>
      <c r="I224" s="125">
        <v>0.0</v>
      </c>
    </row>
    <row r="225">
      <c r="A225" s="84" t="s">
        <v>294</v>
      </c>
      <c r="B225" s="84" t="s">
        <v>3</v>
      </c>
      <c r="C225" s="84" t="s">
        <v>263</v>
      </c>
      <c r="D225" s="84" t="s">
        <v>285</v>
      </c>
      <c r="E225" s="125">
        <v>104.0</v>
      </c>
      <c r="F225" s="51">
        <f t="shared" si="1"/>
        <v>99.04761905</v>
      </c>
      <c r="G225" s="125">
        <f t="shared" ref="G225:G226" si="78">G224</f>
        <v>105</v>
      </c>
      <c r="H225" s="125" t="s">
        <v>264</v>
      </c>
      <c r="I225" s="125">
        <v>104.0</v>
      </c>
    </row>
    <row r="226">
      <c r="A226" s="84" t="s">
        <v>294</v>
      </c>
      <c r="B226" s="84" t="s">
        <v>3</v>
      </c>
      <c r="C226" s="84" t="s">
        <v>263</v>
      </c>
      <c r="D226" s="84" t="s">
        <v>286</v>
      </c>
      <c r="E226" s="125">
        <v>1.0</v>
      </c>
      <c r="F226" s="51">
        <f t="shared" si="1"/>
        <v>0.9523809524</v>
      </c>
      <c r="G226" s="125">
        <f t="shared" si="78"/>
        <v>105</v>
      </c>
      <c r="H226" s="125" t="s">
        <v>264</v>
      </c>
      <c r="I226" s="125">
        <v>1.0</v>
      </c>
    </row>
    <row r="227">
      <c r="A227" s="84" t="s">
        <v>295</v>
      </c>
      <c r="B227" s="84" t="s">
        <v>5</v>
      </c>
      <c r="C227" s="84" t="s">
        <v>104</v>
      </c>
      <c r="D227" s="84" t="s">
        <v>284</v>
      </c>
      <c r="E227" s="125">
        <f t="shared" ref="E227:E232" si="79">E128+E149</f>
        <v>1262</v>
      </c>
      <c r="F227" s="51">
        <f t="shared" si="1"/>
        <v>29.26716141</v>
      </c>
      <c r="G227" s="125">
        <f>E227+E228+E229</f>
        <v>4312</v>
      </c>
      <c r="H227" s="125" t="s">
        <v>160</v>
      </c>
      <c r="I227" s="125"/>
    </row>
    <row r="228">
      <c r="A228" s="84" t="s">
        <v>295</v>
      </c>
      <c r="B228" s="84" t="s">
        <v>5</v>
      </c>
      <c r="C228" s="84" t="s">
        <v>104</v>
      </c>
      <c r="D228" s="84" t="s">
        <v>285</v>
      </c>
      <c r="E228" s="125">
        <f t="shared" si="79"/>
        <v>2619</v>
      </c>
      <c r="F228" s="51">
        <f t="shared" si="1"/>
        <v>60.73747681</v>
      </c>
      <c r="G228" s="125">
        <f t="shared" ref="G228:G229" si="80">G227</f>
        <v>4312</v>
      </c>
      <c r="H228" s="125" t="s">
        <v>160</v>
      </c>
      <c r="I228" s="125"/>
    </row>
    <row r="229">
      <c r="A229" s="84" t="s">
        <v>295</v>
      </c>
      <c r="B229" s="84" t="s">
        <v>5</v>
      </c>
      <c r="C229" s="84" t="s">
        <v>104</v>
      </c>
      <c r="D229" s="84" t="s">
        <v>286</v>
      </c>
      <c r="E229" s="125">
        <f t="shared" si="79"/>
        <v>431</v>
      </c>
      <c r="F229" s="51">
        <f t="shared" si="1"/>
        <v>9.995361781</v>
      </c>
      <c r="G229" s="125">
        <f t="shared" si="80"/>
        <v>4312</v>
      </c>
      <c r="H229" s="125" t="s">
        <v>160</v>
      </c>
      <c r="I229" s="125"/>
    </row>
    <row r="230">
      <c r="A230" s="84" t="s">
        <v>295</v>
      </c>
      <c r="B230" s="84" t="s">
        <v>5</v>
      </c>
      <c r="C230" s="84" t="s">
        <v>162</v>
      </c>
      <c r="D230" s="84" t="s">
        <v>284</v>
      </c>
      <c r="E230" s="125">
        <f t="shared" si="79"/>
        <v>1088</v>
      </c>
      <c r="F230" s="51">
        <f t="shared" si="1"/>
        <v>60.37735849</v>
      </c>
      <c r="G230" s="125">
        <f>E230+E231+E232</f>
        <v>1802</v>
      </c>
      <c r="H230" s="125" t="s">
        <v>163</v>
      </c>
      <c r="I230" s="125"/>
    </row>
    <row r="231">
      <c r="A231" s="84" t="s">
        <v>295</v>
      </c>
      <c r="B231" s="84" t="s">
        <v>5</v>
      </c>
      <c r="C231" s="84" t="s">
        <v>162</v>
      </c>
      <c r="D231" s="84" t="s">
        <v>285</v>
      </c>
      <c r="E231" s="125">
        <f t="shared" si="79"/>
        <v>393</v>
      </c>
      <c r="F231" s="51">
        <f t="shared" si="1"/>
        <v>21.809101</v>
      </c>
      <c r="G231" s="125">
        <f t="shared" ref="G231:G232" si="81">G230</f>
        <v>1802</v>
      </c>
      <c r="H231" s="125" t="s">
        <v>163</v>
      </c>
      <c r="I231" s="125"/>
    </row>
    <row r="232">
      <c r="A232" s="84" t="s">
        <v>295</v>
      </c>
      <c r="B232" s="84" t="s">
        <v>5</v>
      </c>
      <c r="C232" s="84" t="s">
        <v>162</v>
      </c>
      <c r="D232" s="84" t="s">
        <v>286</v>
      </c>
      <c r="E232" s="125">
        <f t="shared" si="79"/>
        <v>321</v>
      </c>
      <c r="F232" s="51">
        <f t="shared" si="1"/>
        <v>17.81354051</v>
      </c>
      <c r="G232" s="125">
        <f t="shared" si="81"/>
        <v>1802</v>
      </c>
      <c r="H232" s="125" t="s">
        <v>163</v>
      </c>
      <c r="I232" s="125"/>
    </row>
    <row r="233">
      <c r="A233" s="84" t="s">
        <v>295</v>
      </c>
      <c r="B233" s="84" t="s">
        <v>220</v>
      </c>
      <c r="C233" s="84" t="s">
        <v>105</v>
      </c>
      <c r="D233" s="84" t="s">
        <v>284</v>
      </c>
      <c r="E233" s="125">
        <v>11187.0</v>
      </c>
      <c r="F233" s="51">
        <f t="shared" si="1"/>
        <v>42.27731378</v>
      </c>
      <c r="G233" s="125">
        <f>E233+E234+E235</f>
        <v>26461</v>
      </c>
      <c r="H233" s="125" t="s">
        <v>221</v>
      </c>
      <c r="I233" s="125">
        <v>11187.0</v>
      </c>
    </row>
    <row r="234">
      <c r="A234" s="84" t="s">
        <v>295</v>
      </c>
      <c r="B234" s="84" t="s">
        <v>220</v>
      </c>
      <c r="C234" s="84" t="s">
        <v>105</v>
      </c>
      <c r="D234" s="84" t="s">
        <v>285</v>
      </c>
      <c r="E234" s="125">
        <v>7422.0</v>
      </c>
      <c r="F234" s="51">
        <f t="shared" si="1"/>
        <v>28.04882657</v>
      </c>
      <c r="G234" s="125">
        <f t="shared" ref="G234:G235" si="82">G233</f>
        <v>26461</v>
      </c>
      <c r="H234" s="125" t="s">
        <v>221</v>
      </c>
      <c r="I234" s="125">
        <v>7422.0</v>
      </c>
    </row>
    <row r="235">
      <c r="A235" s="84" t="s">
        <v>295</v>
      </c>
      <c r="B235" s="84" t="s">
        <v>220</v>
      </c>
      <c r="C235" s="84" t="s">
        <v>105</v>
      </c>
      <c r="D235" s="84" t="s">
        <v>286</v>
      </c>
      <c r="E235" s="125">
        <v>7852.0</v>
      </c>
      <c r="F235" s="51">
        <f t="shared" si="1"/>
        <v>29.67385964</v>
      </c>
      <c r="G235" s="125">
        <f t="shared" si="82"/>
        <v>26461</v>
      </c>
      <c r="H235" s="125" t="s">
        <v>221</v>
      </c>
      <c r="I235" s="125">
        <v>7852.0</v>
      </c>
    </row>
    <row r="236">
      <c r="A236" s="84" t="s">
        <v>295</v>
      </c>
      <c r="B236" s="84" t="s">
        <v>220</v>
      </c>
      <c r="C236" s="84" t="s">
        <v>222</v>
      </c>
      <c r="D236" s="84" t="s">
        <v>284</v>
      </c>
      <c r="E236" s="125">
        <v>4412.0</v>
      </c>
      <c r="F236" s="51">
        <f t="shared" si="1"/>
        <v>35.04368546</v>
      </c>
      <c r="G236" s="125">
        <f>E236+E237+E238</f>
        <v>12590</v>
      </c>
      <c r="H236" s="125" t="s">
        <v>223</v>
      </c>
      <c r="I236" s="125">
        <v>4412.0</v>
      </c>
    </row>
    <row r="237">
      <c r="A237" s="84" t="s">
        <v>295</v>
      </c>
      <c r="B237" s="84" t="s">
        <v>220</v>
      </c>
      <c r="C237" s="84" t="s">
        <v>222</v>
      </c>
      <c r="D237" s="84" t="s">
        <v>285</v>
      </c>
      <c r="E237" s="125">
        <v>6239.0</v>
      </c>
      <c r="F237" s="51">
        <f t="shared" si="1"/>
        <v>49.55520254</v>
      </c>
      <c r="G237" s="125">
        <f t="shared" ref="G237:G238" si="83">G236</f>
        <v>12590</v>
      </c>
      <c r="H237" s="125" t="s">
        <v>223</v>
      </c>
      <c r="I237" s="125">
        <v>6239.0</v>
      </c>
    </row>
    <row r="238">
      <c r="A238" s="84" t="s">
        <v>295</v>
      </c>
      <c r="B238" s="84" t="s">
        <v>220</v>
      </c>
      <c r="C238" s="84" t="s">
        <v>222</v>
      </c>
      <c r="D238" s="84" t="s">
        <v>286</v>
      </c>
      <c r="E238" s="125">
        <v>1939.0</v>
      </c>
      <c r="F238" s="51">
        <f t="shared" si="1"/>
        <v>15.40111199</v>
      </c>
      <c r="G238" s="125">
        <f t="shared" si="83"/>
        <v>12590</v>
      </c>
      <c r="H238" s="125" t="s">
        <v>223</v>
      </c>
      <c r="I238" s="125">
        <v>1939.0</v>
      </c>
    </row>
    <row r="239">
      <c r="A239" s="84" t="s">
        <v>295</v>
      </c>
      <c r="B239" s="84" t="s">
        <v>296</v>
      </c>
      <c r="C239" s="84" t="s">
        <v>106</v>
      </c>
      <c r="D239" s="84" t="s">
        <v>284</v>
      </c>
      <c r="E239" s="125">
        <v>371.0</v>
      </c>
      <c r="F239" s="51">
        <f t="shared" si="1"/>
        <v>14.69306931</v>
      </c>
      <c r="G239" s="125">
        <f>E239+E240+E241</f>
        <v>2525</v>
      </c>
      <c r="H239" s="125" t="s">
        <v>214</v>
      </c>
      <c r="I239" s="125">
        <v>371.0</v>
      </c>
    </row>
    <row r="240">
      <c r="A240" s="84" t="s">
        <v>295</v>
      </c>
      <c r="B240" s="84" t="s">
        <v>296</v>
      </c>
      <c r="C240" s="84" t="s">
        <v>106</v>
      </c>
      <c r="D240" s="84" t="s">
        <v>285</v>
      </c>
      <c r="E240" s="125">
        <v>2044.0</v>
      </c>
      <c r="F240" s="51">
        <f t="shared" si="1"/>
        <v>80.95049505</v>
      </c>
      <c r="G240" s="125">
        <f t="shared" ref="G240:G241" si="84">G239</f>
        <v>2525</v>
      </c>
      <c r="H240" s="125" t="s">
        <v>214</v>
      </c>
      <c r="I240" s="125">
        <v>2044.0</v>
      </c>
    </row>
    <row r="241">
      <c r="A241" s="84" t="s">
        <v>295</v>
      </c>
      <c r="B241" s="84" t="s">
        <v>296</v>
      </c>
      <c r="C241" s="84" t="s">
        <v>106</v>
      </c>
      <c r="D241" s="84" t="s">
        <v>286</v>
      </c>
      <c r="E241" s="125">
        <v>110.0</v>
      </c>
      <c r="F241" s="51">
        <f t="shared" si="1"/>
        <v>4.356435644</v>
      </c>
      <c r="G241" s="125">
        <f t="shared" si="84"/>
        <v>2525</v>
      </c>
      <c r="H241" s="125" t="s">
        <v>214</v>
      </c>
      <c r="I241" s="125">
        <v>110.0</v>
      </c>
    </row>
    <row r="242">
      <c r="A242" s="84" t="s">
        <v>297</v>
      </c>
      <c r="B242" s="84" t="s">
        <v>5</v>
      </c>
      <c r="C242" s="84" t="s">
        <v>104</v>
      </c>
      <c r="D242" s="84" t="s">
        <v>284</v>
      </c>
      <c r="E242" s="125">
        <f t="shared" ref="E242:E247" si="85">E128+E149</f>
        <v>1262</v>
      </c>
      <c r="F242" s="51">
        <f t="shared" si="1"/>
        <v>29.26716141</v>
      </c>
      <c r="G242" s="125">
        <f>E242+E243+E244</f>
        <v>4312</v>
      </c>
      <c r="H242" s="125" t="s">
        <v>160</v>
      </c>
      <c r="I242" s="125"/>
    </row>
    <row r="243">
      <c r="A243" s="84" t="s">
        <v>297</v>
      </c>
      <c r="B243" s="84" t="s">
        <v>5</v>
      </c>
      <c r="C243" s="84" t="s">
        <v>104</v>
      </c>
      <c r="D243" s="84" t="s">
        <v>285</v>
      </c>
      <c r="E243" s="125">
        <f t="shared" si="85"/>
        <v>2619</v>
      </c>
      <c r="F243" s="51">
        <f t="shared" si="1"/>
        <v>60.73747681</v>
      </c>
      <c r="G243" s="125">
        <f t="shared" ref="G243:G244" si="86">G242</f>
        <v>4312</v>
      </c>
      <c r="H243" s="125" t="s">
        <v>160</v>
      </c>
      <c r="I243" s="125"/>
    </row>
    <row r="244">
      <c r="A244" s="84" t="s">
        <v>297</v>
      </c>
      <c r="B244" s="84" t="s">
        <v>5</v>
      </c>
      <c r="C244" s="84" t="s">
        <v>104</v>
      </c>
      <c r="D244" s="84" t="s">
        <v>286</v>
      </c>
      <c r="E244" s="125">
        <f t="shared" si="85"/>
        <v>431</v>
      </c>
      <c r="F244" s="51">
        <f t="shared" si="1"/>
        <v>9.995361781</v>
      </c>
      <c r="G244" s="125">
        <f t="shared" si="86"/>
        <v>4312</v>
      </c>
      <c r="H244" s="125" t="s">
        <v>160</v>
      </c>
      <c r="I244" s="125"/>
    </row>
    <row r="245">
      <c r="A245" s="84" t="s">
        <v>297</v>
      </c>
      <c r="B245" s="84" t="s">
        <v>5</v>
      </c>
      <c r="C245" s="84" t="s">
        <v>162</v>
      </c>
      <c r="D245" s="84" t="s">
        <v>284</v>
      </c>
      <c r="E245" s="125">
        <f t="shared" si="85"/>
        <v>1088</v>
      </c>
      <c r="F245" s="51">
        <f t="shared" si="1"/>
        <v>60.37735849</v>
      </c>
      <c r="G245" s="125">
        <f>E245+E246+E247</f>
        <v>1802</v>
      </c>
      <c r="H245" s="125" t="s">
        <v>163</v>
      </c>
      <c r="I245" s="125"/>
    </row>
    <row r="246">
      <c r="A246" s="84" t="s">
        <v>297</v>
      </c>
      <c r="B246" s="84" t="s">
        <v>5</v>
      </c>
      <c r="C246" s="84" t="s">
        <v>162</v>
      </c>
      <c r="D246" s="84" t="s">
        <v>285</v>
      </c>
      <c r="E246" s="125">
        <f t="shared" si="85"/>
        <v>393</v>
      </c>
      <c r="F246" s="51">
        <f t="shared" si="1"/>
        <v>21.809101</v>
      </c>
      <c r="G246" s="125">
        <f t="shared" ref="G246:G247" si="87">G245</f>
        <v>1802</v>
      </c>
      <c r="H246" s="125" t="s">
        <v>163</v>
      </c>
      <c r="I246" s="125"/>
    </row>
    <row r="247">
      <c r="A247" s="84" t="s">
        <v>297</v>
      </c>
      <c r="B247" s="84" t="s">
        <v>5</v>
      </c>
      <c r="C247" s="84" t="s">
        <v>162</v>
      </c>
      <c r="D247" s="84" t="s">
        <v>286</v>
      </c>
      <c r="E247" s="125">
        <f t="shared" si="85"/>
        <v>321</v>
      </c>
      <c r="F247" s="51">
        <f t="shared" si="1"/>
        <v>17.81354051</v>
      </c>
      <c r="G247" s="125">
        <f t="shared" si="87"/>
        <v>1802</v>
      </c>
      <c r="H247" s="125" t="s">
        <v>163</v>
      </c>
      <c r="I247" s="125"/>
    </row>
    <row r="248">
      <c r="A248" s="84" t="s">
        <v>297</v>
      </c>
      <c r="B248" s="84" t="s">
        <v>196</v>
      </c>
      <c r="C248" s="84" t="s">
        <v>198</v>
      </c>
      <c r="D248" s="84" t="s">
        <v>284</v>
      </c>
      <c r="E248" s="125">
        <v>4714.0</v>
      </c>
      <c r="F248" s="51">
        <f t="shared" si="1"/>
        <v>57.59315822</v>
      </c>
      <c r="G248" s="125">
        <f>E248+E249+E250</f>
        <v>8185</v>
      </c>
      <c r="H248" s="125" t="s">
        <v>199</v>
      </c>
      <c r="I248" s="125">
        <v>4714.0</v>
      </c>
    </row>
    <row r="249">
      <c r="A249" s="84" t="s">
        <v>297</v>
      </c>
      <c r="B249" s="84" t="s">
        <v>196</v>
      </c>
      <c r="C249" s="84" t="s">
        <v>198</v>
      </c>
      <c r="D249" s="84" t="s">
        <v>285</v>
      </c>
      <c r="E249" s="125">
        <v>2829.0</v>
      </c>
      <c r="F249" s="51">
        <f t="shared" si="1"/>
        <v>34.56322541</v>
      </c>
      <c r="G249" s="125">
        <f t="shared" ref="G249:G250" si="88">G248</f>
        <v>8185</v>
      </c>
      <c r="H249" s="125" t="s">
        <v>199</v>
      </c>
      <c r="I249" s="125">
        <v>2829.0</v>
      </c>
    </row>
    <row r="250">
      <c r="A250" s="84" t="s">
        <v>297</v>
      </c>
      <c r="B250" s="84" t="s">
        <v>196</v>
      </c>
      <c r="C250" s="84" t="s">
        <v>198</v>
      </c>
      <c r="D250" s="84" t="s">
        <v>286</v>
      </c>
      <c r="E250" s="125">
        <v>642.0</v>
      </c>
      <c r="F250" s="51">
        <f t="shared" si="1"/>
        <v>7.843616371</v>
      </c>
      <c r="G250" s="125">
        <f t="shared" si="88"/>
        <v>8185</v>
      </c>
      <c r="H250" s="125" t="s">
        <v>199</v>
      </c>
      <c r="I250" s="125">
        <v>642.0</v>
      </c>
    </row>
    <row r="251">
      <c r="A251" s="84" t="s">
        <v>297</v>
      </c>
      <c r="B251" s="84" t="s">
        <v>196</v>
      </c>
      <c r="C251" s="84" t="s">
        <v>200</v>
      </c>
      <c r="D251" s="84" t="s">
        <v>284</v>
      </c>
      <c r="E251" s="125">
        <v>506.0</v>
      </c>
      <c r="F251" s="51">
        <f t="shared" si="1"/>
        <v>47.15750233</v>
      </c>
      <c r="G251" s="125">
        <f>E251+E252+E253</f>
        <v>1073</v>
      </c>
      <c r="H251" s="125" t="s">
        <v>201</v>
      </c>
      <c r="I251" s="125">
        <v>506.0</v>
      </c>
    </row>
    <row r="252">
      <c r="A252" s="84" t="s">
        <v>297</v>
      </c>
      <c r="B252" s="84" t="s">
        <v>196</v>
      </c>
      <c r="C252" s="84" t="s">
        <v>200</v>
      </c>
      <c r="D252" s="84" t="s">
        <v>285</v>
      </c>
      <c r="E252" s="125">
        <v>431.0</v>
      </c>
      <c r="F252" s="51">
        <f t="shared" si="1"/>
        <v>40.16775396</v>
      </c>
      <c r="G252" s="125">
        <f t="shared" ref="G252:G253" si="89">G251</f>
        <v>1073</v>
      </c>
      <c r="H252" s="125" t="s">
        <v>201</v>
      </c>
      <c r="I252" s="125">
        <v>431.0</v>
      </c>
    </row>
    <row r="253">
      <c r="A253" s="84" t="s">
        <v>297</v>
      </c>
      <c r="B253" s="84" t="s">
        <v>196</v>
      </c>
      <c r="C253" s="84" t="s">
        <v>200</v>
      </c>
      <c r="D253" s="84" t="s">
        <v>286</v>
      </c>
      <c r="E253" s="125">
        <v>136.0</v>
      </c>
      <c r="F253" s="51">
        <f t="shared" si="1"/>
        <v>12.67474371</v>
      </c>
      <c r="G253" s="125">
        <f t="shared" si="89"/>
        <v>1073</v>
      </c>
      <c r="H253" s="125" t="s">
        <v>201</v>
      </c>
      <c r="I253" s="125">
        <v>136.0</v>
      </c>
    </row>
    <row r="254">
      <c r="A254" s="84" t="s">
        <v>297</v>
      </c>
      <c r="B254" s="84" t="s">
        <v>188</v>
      </c>
      <c r="C254" s="84" t="s">
        <v>190</v>
      </c>
      <c r="D254" s="84" t="s">
        <v>284</v>
      </c>
      <c r="E254" s="125">
        <v>96.0</v>
      </c>
      <c r="F254" s="51">
        <f t="shared" si="1"/>
        <v>29.90654206</v>
      </c>
      <c r="G254" s="125">
        <f>E254+E255+E256</f>
        <v>321</v>
      </c>
      <c r="H254" s="125" t="s">
        <v>191</v>
      </c>
      <c r="I254" s="125">
        <v>96.0</v>
      </c>
    </row>
    <row r="255">
      <c r="A255" s="84" t="s">
        <v>297</v>
      </c>
      <c r="B255" s="84" t="s">
        <v>188</v>
      </c>
      <c r="C255" s="84" t="s">
        <v>190</v>
      </c>
      <c r="D255" s="84" t="s">
        <v>285</v>
      </c>
      <c r="E255" s="125">
        <v>203.0</v>
      </c>
      <c r="F255" s="51">
        <f t="shared" si="1"/>
        <v>63.23987539</v>
      </c>
      <c r="G255" s="125">
        <f t="shared" ref="G255:G256" si="90">G254</f>
        <v>321</v>
      </c>
      <c r="H255" s="125" t="s">
        <v>191</v>
      </c>
      <c r="I255" s="125">
        <v>203.0</v>
      </c>
    </row>
    <row r="256">
      <c r="A256" s="84" t="s">
        <v>297</v>
      </c>
      <c r="B256" s="84" t="s">
        <v>188</v>
      </c>
      <c r="C256" s="84" t="s">
        <v>190</v>
      </c>
      <c r="D256" s="84" t="s">
        <v>286</v>
      </c>
      <c r="E256" s="125">
        <v>22.0</v>
      </c>
      <c r="F256" s="51">
        <f t="shared" si="1"/>
        <v>6.853582555</v>
      </c>
      <c r="G256" s="125">
        <f t="shared" si="90"/>
        <v>321</v>
      </c>
      <c r="H256" s="125" t="s">
        <v>191</v>
      </c>
      <c r="I256" s="125">
        <v>22.0</v>
      </c>
    </row>
    <row r="257">
      <c r="A257" s="84" t="s">
        <v>297</v>
      </c>
      <c r="B257" s="84" t="s">
        <v>188</v>
      </c>
      <c r="C257" s="84" t="s">
        <v>192</v>
      </c>
      <c r="D257" s="84" t="s">
        <v>284</v>
      </c>
      <c r="E257" s="125">
        <v>46.0</v>
      </c>
      <c r="F257" s="51">
        <f t="shared" si="1"/>
        <v>30.26315789</v>
      </c>
      <c r="G257" s="125">
        <f>E257+E258+E259</f>
        <v>152</v>
      </c>
      <c r="H257" s="125" t="s">
        <v>193</v>
      </c>
      <c r="I257" s="125">
        <v>46.0</v>
      </c>
    </row>
    <row r="258">
      <c r="A258" s="84" t="s">
        <v>297</v>
      </c>
      <c r="B258" s="84" t="s">
        <v>188</v>
      </c>
      <c r="C258" s="84" t="s">
        <v>192</v>
      </c>
      <c r="D258" s="84" t="s">
        <v>285</v>
      </c>
      <c r="E258" s="125">
        <v>92.0</v>
      </c>
      <c r="F258" s="51">
        <f t="shared" si="1"/>
        <v>60.52631579</v>
      </c>
      <c r="G258" s="125">
        <f t="shared" ref="G258:G259" si="91">G257</f>
        <v>152</v>
      </c>
      <c r="H258" s="125" t="s">
        <v>193</v>
      </c>
      <c r="I258" s="125">
        <v>92.0</v>
      </c>
    </row>
    <row r="259">
      <c r="A259" s="84" t="s">
        <v>297</v>
      </c>
      <c r="B259" s="84" t="s">
        <v>188</v>
      </c>
      <c r="C259" s="84" t="s">
        <v>192</v>
      </c>
      <c r="D259" s="84" t="s">
        <v>286</v>
      </c>
      <c r="E259" s="125">
        <v>14.0</v>
      </c>
      <c r="F259" s="51">
        <f t="shared" si="1"/>
        <v>9.210526316</v>
      </c>
      <c r="G259" s="125">
        <f t="shared" si="91"/>
        <v>152</v>
      </c>
      <c r="H259" s="125" t="s">
        <v>193</v>
      </c>
      <c r="I259" s="125">
        <v>14.0</v>
      </c>
    </row>
    <row r="260">
      <c r="A260" s="84" t="s">
        <v>297</v>
      </c>
      <c r="B260" s="84" t="s">
        <v>182</v>
      </c>
      <c r="C260" s="84" t="s">
        <v>184</v>
      </c>
      <c r="D260" s="84" t="s">
        <v>284</v>
      </c>
      <c r="E260" s="125">
        <v>130.0</v>
      </c>
      <c r="F260" s="51">
        <f t="shared" si="1"/>
        <v>29.95391705</v>
      </c>
      <c r="G260" s="125">
        <f>E260+E261+E262</f>
        <v>434</v>
      </c>
      <c r="H260" s="125" t="s">
        <v>185</v>
      </c>
      <c r="I260" s="125">
        <v>130.0</v>
      </c>
    </row>
    <row r="261">
      <c r="A261" s="84" t="s">
        <v>297</v>
      </c>
      <c r="B261" s="84" t="s">
        <v>182</v>
      </c>
      <c r="C261" s="84" t="s">
        <v>184</v>
      </c>
      <c r="D261" s="84" t="s">
        <v>285</v>
      </c>
      <c r="E261" s="125">
        <v>268.0</v>
      </c>
      <c r="F261" s="51">
        <f t="shared" si="1"/>
        <v>61.75115207</v>
      </c>
      <c r="G261" s="125">
        <f t="shared" ref="G261:G262" si="92">G260</f>
        <v>434</v>
      </c>
      <c r="H261" s="125" t="s">
        <v>185</v>
      </c>
      <c r="I261" s="125">
        <v>268.0</v>
      </c>
    </row>
    <row r="262">
      <c r="A262" s="84" t="s">
        <v>297</v>
      </c>
      <c r="B262" s="84" t="s">
        <v>182</v>
      </c>
      <c r="C262" s="84" t="s">
        <v>184</v>
      </c>
      <c r="D262" s="84" t="s">
        <v>286</v>
      </c>
      <c r="E262" s="125">
        <v>36.0</v>
      </c>
      <c r="F262" s="51">
        <f t="shared" si="1"/>
        <v>8.294930876</v>
      </c>
      <c r="G262" s="125">
        <f t="shared" si="92"/>
        <v>434</v>
      </c>
      <c r="H262" s="125" t="s">
        <v>185</v>
      </c>
      <c r="I262" s="125">
        <v>36.0</v>
      </c>
    </row>
    <row r="263">
      <c r="A263" s="84" t="s">
        <v>297</v>
      </c>
      <c r="B263" s="84" t="s">
        <v>178</v>
      </c>
      <c r="C263" s="84" t="s">
        <v>180</v>
      </c>
      <c r="D263" s="84" t="s">
        <v>284</v>
      </c>
      <c r="E263" s="125">
        <v>278.0</v>
      </c>
      <c r="F263" s="51">
        <f t="shared" si="1"/>
        <v>52.2556391</v>
      </c>
      <c r="G263" s="125">
        <f>E263+E264+E265</f>
        <v>532</v>
      </c>
      <c r="H263" s="125" t="s">
        <v>181</v>
      </c>
      <c r="I263" s="125">
        <v>278.0</v>
      </c>
    </row>
    <row r="264">
      <c r="A264" s="84" t="s">
        <v>297</v>
      </c>
      <c r="B264" s="84" t="s">
        <v>178</v>
      </c>
      <c r="C264" s="84" t="s">
        <v>180</v>
      </c>
      <c r="D264" s="84" t="s">
        <v>285</v>
      </c>
      <c r="E264" s="125">
        <v>187.0</v>
      </c>
      <c r="F264" s="51">
        <f t="shared" si="1"/>
        <v>35.15037594</v>
      </c>
      <c r="G264" s="125">
        <f t="shared" ref="G264:G265" si="93">G263</f>
        <v>532</v>
      </c>
      <c r="H264" s="125" t="s">
        <v>181</v>
      </c>
      <c r="I264" s="125">
        <v>187.0</v>
      </c>
    </row>
    <row r="265">
      <c r="A265" s="84" t="s">
        <v>297</v>
      </c>
      <c r="B265" s="84" t="s">
        <v>178</v>
      </c>
      <c r="C265" s="84" t="s">
        <v>180</v>
      </c>
      <c r="D265" s="84" t="s">
        <v>286</v>
      </c>
      <c r="E265" s="125">
        <v>67.0</v>
      </c>
      <c r="F265" s="51">
        <f t="shared" si="1"/>
        <v>12.59398496</v>
      </c>
      <c r="G265" s="125">
        <f t="shared" si="93"/>
        <v>532</v>
      </c>
      <c r="H265" s="125" t="s">
        <v>181</v>
      </c>
      <c r="I265" s="125">
        <v>67.0</v>
      </c>
    </row>
    <row r="266">
      <c r="A266" s="84" t="s">
        <v>297</v>
      </c>
      <c r="B266" s="84" t="s">
        <v>174</v>
      </c>
      <c r="C266" s="84" t="s">
        <v>176</v>
      </c>
      <c r="D266" s="84" t="s">
        <v>284</v>
      </c>
      <c r="E266" s="125">
        <v>34.0</v>
      </c>
      <c r="F266" s="51">
        <f t="shared" si="1"/>
        <v>7.852193995</v>
      </c>
      <c r="G266" s="125">
        <f>E266+E267+E268</f>
        <v>433</v>
      </c>
      <c r="H266" s="125" t="s">
        <v>177</v>
      </c>
      <c r="I266" s="125">
        <v>34.0</v>
      </c>
    </row>
    <row r="267">
      <c r="A267" s="84" t="s">
        <v>297</v>
      </c>
      <c r="B267" s="84" t="s">
        <v>174</v>
      </c>
      <c r="C267" s="84" t="s">
        <v>176</v>
      </c>
      <c r="D267" s="84" t="s">
        <v>285</v>
      </c>
      <c r="E267" s="125">
        <v>389.0</v>
      </c>
      <c r="F267" s="51">
        <f t="shared" si="1"/>
        <v>89.83833718</v>
      </c>
      <c r="G267" s="125">
        <f t="shared" ref="G267:G268" si="94">G266</f>
        <v>433</v>
      </c>
      <c r="H267" s="125" t="s">
        <v>177</v>
      </c>
      <c r="I267" s="125">
        <v>389.0</v>
      </c>
    </row>
    <row r="268">
      <c r="A268" s="84" t="s">
        <v>297</v>
      </c>
      <c r="B268" s="84" t="s">
        <v>174</v>
      </c>
      <c r="C268" s="84" t="s">
        <v>176</v>
      </c>
      <c r="D268" s="84" t="s">
        <v>286</v>
      </c>
      <c r="E268" s="125">
        <v>10.0</v>
      </c>
      <c r="F268" s="51">
        <f t="shared" si="1"/>
        <v>2.309468822</v>
      </c>
      <c r="G268" s="125">
        <f t="shared" si="94"/>
        <v>433</v>
      </c>
      <c r="H268" s="125" t="s">
        <v>177</v>
      </c>
      <c r="I268" s="125">
        <v>10.0</v>
      </c>
    </row>
    <row r="269">
      <c r="A269" s="84" t="s">
        <v>297</v>
      </c>
      <c r="B269" s="84" t="s">
        <v>170</v>
      </c>
      <c r="C269" s="84" t="s">
        <v>172</v>
      </c>
      <c r="D269" s="84" t="s">
        <v>284</v>
      </c>
      <c r="E269" s="125">
        <v>114.0</v>
      </c>
      <c r="F269" s="51">
        <f t="shared" si="1"/>
        <v>10.89866157</v>
      </c>
      <c r="G269" s="125">
        <f>E269+E270+E271</f>
        <v>1046</v>
      </c>
      <c r="H269" s="125" t="s">
        <v>173</v>
      </c>
      <c r="I269" s="125">
        <v>114.0</v>
      </c>
    </row>
    <row r="270">
      <c r="A270" s="84" t="s">
        <v>297</v>
      </c>
      <c r="B270" s="84" t="s">
        <v>170</v>
      </c>
      <c r="C270" s="84" t="s">
        <v>172</v>
      </c>
      <c r="D270" s="84" t="s">
        <v>285</v>
      </c>
      <c r="E270" s="125">
        <v>916.0</v>
      </c>
      <c r="F270" s="51">
        <f t="shared" si="1"/>
        <v>87.57170172</v>
      </c>
      <c r="G270" s="125">
        <f t="shared" ref="G270:G271" si="95">G269</f>
        <v>1046</v>
      </c>
      <c r="H270" s="125" t="s">
        <v>173</v>
      </c>
      <c r="I270" s="125">
        <v>916.0</v>
      </c>
    </row>
    <row r="271">
      <c r="A271" s="84" t="s">
        <v>297</v>
      </c>
      <c r="B271" s="84" t="s">
        <v>170</v>
      </c>
      <c r="C271" s="84" t="s">
        <v>172</v>
      </c>
      <c r="D271" s="84" t="s">
        <v>286</v>
      </c>
      <c r="E271" s="125">
        <v>16.0</v>
      </c>
      <c r="F271" s="51">
        <f t="shared" si="1"/>
        <v>1.529636711</v>
      </c>
      <c r="G271" s="125">
        <f t="shared" si="95"/>
        <v>1046</v>
      </c>
      <c r="H271" s="125" t="s">
        <v>173</v>
      </c>
      <c r="I271" s="125">
        <v>16.0</v>
      </c>
    </row>
    <row r="272">
      <c r="A272" s="84" t="s">
        <v>297</v>
      </c>
      <c r="B272" s="84" t="s">
        <v>164</v>
      </c>
      <c r="C272" s="84" t="s">
        <v>166</v>
      </c>
      <c r="D272" s="84" t="s">
        <v>284</v>
      </c>
      <c r="E272" s="125">
        <f t="shared" ref="E272:E277" si="96">E143</f>
        <v>375</v>
      </c>
      <c r="F272" s="51">
        <f t="shared" si="1"/>
        <v>39.51527924</v>
      </c>
      <c r="G272" s="125">
        <f>E272+E273+E274</f>
        <v>949</v>
      </c>
      <c r="H272" s="125" t="s">
        <v>167</v>
      </c>
      <c r="I272" s="125"/>
    </row>
    <row r="273">
      <c r="A273" s="84" t="s">
        <v>297</v>
      </c>
      <c r="B273" s="84" t="s">
        <v>164</v>
      </c>
      <c r="C273" s="84" t="s">
        <v>166</v>
      </c>
      <c r="D273" s="84" t="s">
        <v>285</v>
      </c>
      <c r="E273" s="125">
        <f t="shared" si="96"/>
        <v>502</v>
      </c>
      <c r="F273" s="51">
        <f t="shared" si="1"/>
        <v>52.89778714</v>
      </c>
      <c r="G273" s="125">
        <f t="shared" ref="G273:G274" si="97">G272</f>
        <v>949</v>
      </c>
      <c r="H273" s="125" t="s">
        <v>167</v>
      </c>
      <c r="I273" s="125"/>
    </row>
    <row r="274">
      <c r="A274" s="84" t="s">
        <v>297</v>
      </c>
      <c r="B274" s="84" t="s">
        <v>164</v>
      </c>
      <c r="C274" s="84" t="s">
        <v>166</v>
      </c>
      <c r="D274" s="84" t="s">
        <v>286</v>
      </c>
      <c r="E274" s="125">
        <f t="shared" si="96"/>
        <v>72</v>
      </c>
      <c r="F274" s="51">
        <f t="shared" si="1"/>
        <v>7.586933614</v>
      </c>
      <c r="G274" s="125">
        <f t="shared" si="97"/>
        <v>949</v>
      </c>
      <c r="H274" s="125" t="s">
        <v>167</v>
      </c>
      <c r="I274" s="125"/>
    </row>
    <row r="275">
      <c r="A275" s="84" t="s">
        <v>297</v>
      </c>
      <c r="B275" s="84" t="s">
        <v>164</v>
      </c>
      <c r="C275" s="84" t="s">
        <v>168</v>
      </c>
      <c r="D275" s="84" t="s">
        <v>284</v>
      </c>
      <c r="E275" s="125">
        <f t="shared" si="96"/>
        <v>201</v>
      </c>
      <c r="F275" s="51">
        <f t="shared" si="1"/>
        <v>74.72118959</v>
      </c>
      <c r="G275" s="125">
        <f>E275+E276+E277</f>
        <v>269</v>
      </c>
      <c r="H275" s="125" t="s">
        <v>169</v>
      </c>
      <c r="I275" s="125"/>
    </row>
    <row r="276">
      <c r="A276" s="84" t="s">
        <v>297</v>
      </c>
      <c r="B276" s="84" t="s">
        <v>164</v>
      </c>
      <c r="C276" s="84" t="s">
        <v>168</v>
      </c>
      <c r="D276" s="84" t="s">
        <v>285</v>
      </c>
      <c r="E276" s="125">
        <f t="shared" si="96"/>
        <v>40</v>
      </c>
      <c r="F276" s="51">
        <f t="shared" si="1"/>
        <v>14.86988848</v>
      </c>
      <c r="G276" s="125">
        <f t="shared" ref="G276:G277" si="98">G275</f>
        <v>269</v>
      </c>
      <c r="H276" s="125" t="s">
        <v>169</v>
      </c>
      <c r="I276" s="125"/>
    </row>
    <row r="277">
      <c r="A277" s="84" t="s">
        <v>297</v>
      </c>
      <c r="B277" s="84" t="s">
        <v>164</v>
      </c>
      <c r="C277" s="84" t="s">
        <v>168</v>
      </c>
      <c r="D277" s="84" t="s">
        <v>286</v>
      </c>
      <c r="E277" s="125">
        <f t="shared" si="96"/>
        <v>28</v>
      </c>
      <c r="F277" s="51">
        <f t="shared" si="1"/>
        <v>10.40892193</v>
      </c>
      <c r="G277" s="125">
        <f t="shared" si="98"/>
        <v>269</v>
      </c>
      <c r="H277" s="125" t="s">
        <v>169</v>
      </c>
      <c r="I277" s="125"/>
    </row>
  </sheetData>
  <autoFilter ref="$A$1:$H$277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 hidden="1"/>
    <row r="10"/>
    <row r="11"/>
    <row r="12"/>
    <row r="13"/>
    <row r="14" hidden="1"/>
    <row r="15" hidden="1"/>
    <row r="16"/>
  </sheetData>
  <autoFilter ref="$A$1:$E$16">
    <filterColumn colId="0">
      <filters>
        <filter val="CFC"/>
        <filter val="CPO"/>
        <filter val="CEPPGG"/>
        <filter val="CTARFB"/>
        <filter val="Total geral"/>
        <filter val="AGU"/>
        <filter val="CEBCB"/>
        <filter val="Órgão/Carreira"/>
        <filter val="PCC-IPEA"/>
        <filter val="PCC-CVM"/>
        <filter val="CAFT"/>
        <filter val="CACE"/>
      </filters>
    </filterColumn>
  </autoFil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0" width="13.75"/>
  </cols>
  <sheetData>
    <row r="1" ht="107.25" customHeight="1">
      <c r="A1" s="32" t="s">
        <v>9</v>
      </c>
      <c r="B1" s="33" t="s">
        <v>10</v>
      </c>
      <c r="C1" s="33" t="s">
        <v>11</v>
      </c>
      <c r="D1" s="33" t="s">
        <v>12</v>
      </c>
      <c r="E1" s="33" t="s">
        <v>13</v>
      </c>
      <c r="F1" s="33" t="s">
        <v>14</v>
      </c>
      <c r="G1" s="33" t="s">
        <v>15</v>
      </c>
      <c r="H1" s="33" t="s">
        <v>16</v>
      </c>
      <c r="I1" s="33" t="s">
        <v>17</v>
      </c>
      <c r="J1" s="33" t="s">
        <v>18</v>
      </c>
    </row>
    <row r="2">
      <c r="A2" s="34">
        <v>39630.0</v>
      </c>
      <c r="B2" s="35">
        <v>14511.6</v>
      </c>
      <c r="C2" s="35">
        <v>16680.0</v>
      </c>
      <c r="D2" s="35">
        <f t="shared" ref="D2:D7" si="3">C2</f>
        <v>16680</v>
      </c>
      <c r="E2" s="35">
        <f t="shared" ref="E2:F2" si="1">C2</f>
        <v>16680</v>
      </c>
      <c r="F2" s="35">
        <f t="shared" si="1"/>
        <v>16680</v>
      </c>
      <c r="G2" s="35">
        <v>16680.0</v>
      </c>
      <c r="H2" s="35">
        <f t="shared" ref="H2:H7" si="5">G2</f>
        <v>16680</v>
      </c>
      <c r="I2" s="35">
        <f t="shared" ref="I2:J2" si="2">G2</f>
        <v>16680</v>
      </c>
      <c r="J2" s="35">
        <f t="shared" si="2"/>
        <v>16680</v>
      </c>
    </row>
    <row r="3">
      <c r="A3" s="34">
        <v>39995.0</v>
      </c>
      <c r="B3" s="35">
        <v>17347.0</v>
      </c>
      <c r="C3" s="35">
        <v>18260.0</v>
      </c>
      <c r="D3" s="35">
        <f t="shared" si="3"/>
        <v>18260</v>
      </c>
      <c r="E3" s="35">
        <f t="shared" ref="E3:F3" si="4">C3</f>
        <v>18260</v>
      </c>
      <c r="F3" s="35">
        <f t="shared" si="4"/>
        <v>18260</v>
      </c>
      <c r="G3" s="35">
        <v>18260.0</v>
      </c>
      <c r="H3" s="35">
        <f t="shared" si="5"/>
        <v>18260</v>
      </c>
      <c r="I3" s="35">
        <f t="shared" ref="I3:J3" si="6">G3</f>
        <v>18260</v>
      </c>
      <c r="J3" s="35">
        <f t="shared" si="6"/>
        <v>18260</v>
      </c>
    </row>
    <row r="4">
      <c r="A4" s="34">
        <v>40360.0</v>
      </c>
      <c r="B4" s="35">
        <v>18478.45</v>
      </c>
      <c r="C4" s="35">
        <v>19451.0</v>
      </c>
      <c r="D4" s="35">
        <f t="shared" si="3"/>
        <v>19451</v>
      </c>
      <c r="E4" s="35">
        <f t="shared" ref="E4:F4" si="7">C4</f>
        <v>19451</v>
      </c>
      <c r="F4" s="35">
        <f t="shared" si="7"/>
        <v>19451</v>
      </c>
      <c r="G4" s="35">
        <v>19451.0</v>
      </c>
      <c r="H4" s="35">
        <f t="shared" si="5"/>
        <v>19451</v>
      </c>
      <c r="I4" s="35">
        <f t="shared" ref="I4:J4" si="8">G4</f>
        <v>19451</v>
      </c>
      <c r="J4" s="35">
        <f t="shared" si="8"/>
        <v>19451</v>
      </c>
    </row>
    <row r="5">
      <c r="A5" s="34">
        <v>41275.0</v>
      </c>
      <c r="B5" s="35">
        <v>19402.37</v>
      </c>
      <c r="C5" s="35">
        <v>20423.55</v>
      </c>
      <c r="D5" s="35">
        <f t="shared" si="3"/>
        <v>20423.55</v>
      </c>
      <c r="E5" s="35">
        <f t="shared" ref="E5:F5" si="9">C5</f>
        <v>20423.55</v>
      </c>
      <c r="F5" s="35">
        <f t="shared" si="9"/>
        <v>20423.55</v>
      </c>
      <c r="G5" s="35">
        <v>20423.55</v>
      </c>
      <c r="H5" s="35">
        <f t="shared" si="5"/>
        <v>20423.55</v>
      </c>
      <c r="I5" s="35">
        <f t="shared" ref="I5:J5" si="10">G5</f>
        <v>20423.55</v>
      </c>
      <c r="J5" s="35">
        <f t="shared" si="10"/>
        <v>20423.55</v>
      </c>
    </row>
    <row r="6">
      <c r="A6" s="34">
        <v>41640.0</v>
      </c>
      <c r="B6" s="35">
        <v>20353.09</v>
      </c>
      <c r="C6" s="35">
        <v>21403.88</v>
      </c>
      <c r="D6" s="35">
        <f t="shared" si="3"/>
        <v>21403.88</v>
      </c>
      <c r="E6" s="35">
        <f t="shared" ref="E6:F6" si="11">C6</f>
        <v>21403.88</v>
      </c>
      <c r="F6" s="35">
        <f t="shared" si="11"/>
        <v>21403.88</v>
      </c>
      <c r="G6" s="35">
        <v>21424.3</v>
      </c>
      <c r="H6" s="35">
        <f t="shared" si="5"/>
        <v>21424.3</v>
      </c>
      <c r="I6" s="35">
        <f t="shared" ref="I6:J6" si="12">G6</f>
        <v>21424.3</v>
      </c>
      <c r="J6" s="35">
        <f t="shared" si="12"/>
        <v>21424.3</v>
      </c>
    </row>
    <row r="7">
      <c r="A7" s="34">
        <v>42005.0</v>
      </c>
      <c r="B7" s="35">
        <v>21391.1</v>
      </c>
      <c r="C7" s="35">
        <v>22516.88</v>
      </c>
      <c r="D7" s="35">
        <f t="shared" si="3"/>
        <v>22516.88</v>
      </c>
      <c r="E7" s="35">
        <f t="shared" ref="E7:F7" si="13">C7</f>
        <v>22516.88</v>
      </c>
      <c r="F7" s="35">
        <f t="shared" si="13"/>
        <v>22516.88</v>
      </c>
      <c r="G7" s="35">
        <v>22516.94</v>
      </c>
      <c r="H7" s="35">
        <f t="shared" si="5"/>
        <v>22516.94</v>
      </c>
      <c r="I7" s="35">
        <f t="shared" ref="I7:J7" si="14">G7</f>
        <v>22516.94</v>
      </c>
      <c r="J7" s="35">
        <f t="shared" si="14"/>
        <v>22516.94</v>
      </c>
    </row>
    <row r="8">
      <c r="A8" s="34">
        <v>42583.0</v>
      </c>
      <c r="B8" s="35">
        <v>22567.61</v>
      </c>
      <c r="C8" s="36">
        <f t="shared" ref="C8:F8" si="15">C7</f>
        <v>22516.88</v>
      </c>
      <c r="D8" s="35">
        <f t="shared" si="15"/>
        <v>22516.88</v>
      </c>
      <c r="E8" s="35">
        <f t="shared" si="15"/>
        <v>22516.88</v>
      </c>
      <c r="F8" s="35">
        <f t="shared" si="15"/>
        <v>22516.88</v>
      </c>
      <c r="G8" s="36">
        <v>23755.37</v>
      </c>
      <c r="H8" s="36">
        <f>G8+3000</f>
        <v>26755.37</v>
      </c>
      <c r="I8" s="35">
        <f t="shared" ref="I8:J8" si="16">G8</f>
        <v>23755.37</v>
      </c>
      <c r="J8" s="35">
        <f t="shared" si="16"/>
        <v>26755.37</v>
      </c>
    </row>
    <row r="9">
      <c r="A9" s="34">
        <v>42614.0</v>
      </c>
      <c r="B9" s="35">
        <f t="shared" ref="B9:C9" si="17">B8</f>
        <v>22567.61</v>
      </c>
      <c r="C9" s="36">
        <f t="shared" si="17"/>
        <v>22516.88</v>
      </c>
      <c r="D9" s="35">
        <f t="shared" ref="D9:D13" si="19">C9+3000</f>
        <v>25516.88</v>
      </c>
      <c r="E9" s="35">
        <f>E8</f>
        <v>22516.88</v>
      </c>
      <c r="F9" s="35">
        <f>D9</f>
        <v>25516.88</v>
      </c>
      <c r="G9" s="36">
        <f t="shared" ref="G9:J9" si="18">G8</f>
        <v>23755.37</v>
      </c>
      <c r="H9" s="36">
        <f t="shared" si="18"/>
        <v>26755.37</v>
      </c>
      <c r="I9" s="35">
        <f t="shared" si="18"/>
        <v>23755.37</v>
      </c>
      <c r="J9" s="35">
        <f t="shared" si="18"/>
        <v>26755.37</v>
      </c>
    </row>
    <row r="10">
      <c r="A10" s="34">
        <v>42734.0</v>
      </c>
      <c r="B10" s="35">
        <f>B9</f>
        <v>22567.61</v>
      </c>
      <c r="C10" s="36">
        <v>23755.31</v>
      </c>
      <c r="D10" s="35">
        <f t="shared" si="19"/>
        <v>26755.31</v>
      </c>
      <c r="E10" s="35">
        <f t="shared" ref="E10:F10" si="20">C10</f>
        <v>23755.31</v>
      </c>
      <c r="F10" s="35">
        <f t="shared" si="20"/>
        <v>26755.31</v>
      </c>
      <c r="G10" s="36">
        <f t="shared" ref="G10:J10" si="21">G9</f>
        <v>23755.37</v>
      </c>
      <c r="H10" s="36">
        <f t="shared" si="21"/>
        <v>26755.37</v>
      </c>
      <c r="I10" s="35">
        <f t="shared" si="21"/>
        <v>23755.37</v>
      </c>
      <c r="J10" s="35">
        <f t="shared" si="21"/>
        <v>26755.37</v>
      </c>
    </row>
    <row r="11">
      <c r="A11" s="34">
        <v>42736.0</v>
      </c>
      <c r="B11" s="35">
        <v>24142.66</v>
      </c>
      <c r="C11" s="36">
        <v>24943.07</v>
      </c>
      <c r="D11" s="35">
        <f t="shared" si="19"/>
        <v>27943.07</v>
      </c>
      <c r="E11" s="35">
        <f t="shared" ref="E11:F11" si="22">C11</f>
        <v>24943.07</v>
      </c>
      <c r="F11" s="35">
        <f t="shared" si="22"/>
        <v>27943.07</v>
      </c>
      <c r="G11" s="36">
        <v>24943.14</v>
      </c>
      <c r="H11" s="36">
        <f>G11+3662.5</f>
        <v>28605.64</v>
      </c>
      <c r="I11" s="35">
        <f t="shared" ref="I11:J11" si="23">G11</f>
        <v>24943.14</v>
      </c>
      <c r="J11" s="35">
        <f t="shared" si="23"/>
        <v>28605.64</v>
      </c>
    </row>
    <row r="12">
      <c r="A12" s="34">
        <v>43101.0</v>
      </c>
      <c r="B12" s="35">
        <v>25745.61</v>
      </c>
      <c r="C12" s="36">
        <v>26127.87</v>
      </c>
      <c r="D12" s="35">
        <f t="shared" si="19"/>
        <v>29127.87</v>
      </c>
      <c r="E12" s="35">
        <f t="shared" ref="E12:F12" si="24">C12</f>
        <v>26127.87</v>
      </c>
      <c r="F12" s="35">
        <f t="shared" si="24"/>
        <v>29127.87</v>
      </c>
      <c r="G12" s="36">
        <v>26127.94</v>
      </c>
      <c r="H12" s="36">
        <f>G12+6451.99</f>
        <v>32579.93</v>
      </c>
      <c r="I12" s="35">
        <f t="shared" ref="I12:J12" si="25">G12</f>
        <v>26127.94</v>
      </c>
      <c r="J12" s="35">
        <f t="shared" si="25"/>
        <v>32579.93</v>
      </c>
    </row>
    <row r="13">
      <c r="A13" s="34">
        <v>43466.0</v>
      </c>
      <c r="B13" s="35">
        <v>27369.67</v>
      </c>
      <c r="C13" s="36">
        <v>27303.62</v>
      </c>
      <c r="D13" s="35">
        <f t="shared" si="19"/>
        <v>30303.62</v>
      </c>
      <c r="E13" s="35">
        <f t="shared" ref="E13:F13" si="26">C13</f>
        <v>27303.62</v>
      </c>
      <c r="F13" s="35">
        <f t="shared" si="26"/>
        <v>30303.62</v>
      </c>
      <c r="G13" s="36">
        <v>27303.7</v>
      </c>
      <c r="H13" s="36">
        <f>G13+7216.35</f>
        <v>34520.05</v>
      </c>
      <c r="I13" s="35">
        <f t="shared" ref="I13:J13" si="27">G13</f>
        <v>27303.7</v>
      </c>
      <c r="J13" s="35">
        <f t="shared" si="27"/>
        <v>34520.05</v>
      </c>
    </row>
    <row r="14">
      <c r="A14" s="34">
        <v>43831.0</v>
      </c>
      <c r="B14" s="35">
        <f t="shared" ref="B14:G14" si="28">B13</f>
        <v>27369.67</v>
      </c>
      <c r="C14" s="36">
        <f t="shared" si="28"/>
        <v>27303.62</v>
      </c>
      <c r="D14" s="35">
        <f t="shared" si="28"/>
        <v>30303.62</v>
      </c>
      <c r="E14" s="35">
        <f t="shared" si="28"/>
        <v>27303.62</v>
      </c>
      <c r="F14" s="35">
        <f t="shared" si="28"/>
        <v>30303.62</v>
      </c>
      <c r="G14" s="36">
        <f t="shared" si="28"/>
        <v>27303.7</v>
      </c>
      <c r="H14" s="36">
        <f>G14+7850</f>
        <v>35153.7</v>
      </c>
      <c r="I14" s="35">
        <f t="shared" ref="I14:I18" si="30">I13</f>
        <v>27303.7</v>
      </c>
      <c r="J14" s="35">
        <f t="shared" ref="J14:J18" si="31">H14</f>
        <v>35153.7</v>
      </c>
    </row>
    <row r="15">
      <c r="A15" s="34">
        <v>44197.0</v>
      </c>
      <c r="B15" s="37">
        <f t="shared" ref="B15:G15" si="29">B14</f>
        <v>27369.67</v>
      </c>
      <c r="C15" s="37">
        <f t="shared" si="29"/>
        <v>27303.62</v>
      </c>
      <c r="D15" s="35">
        <f t="shared" si="29"/>
        <v>30303.62</v>
      </c>
      <c r="E15" s="35">
        <f t="shared" si="29"/>
        <v>27303.62</v>
      </c>
      <c r="F15" s="35">
        <f t="shared" si="29"/>
        <v>30303.62</v>
      </c>
      <c r="G15" s="36">
        <f t="shared" si="29"/>
        <v>27303.7</v>
      </c>
      <c r="H15" s="38">
        <f>G15+9594.2</f>
        <v>36897.9</v>
      </c>
      <c r="I15" s="35">
        <f t="shared" si="30"/>
        <v>27303.7</v>
      </c>
      <c r="J15" s="35">
        <f t="shared" si="31"/>
        <v>36897.9</v>
      </c>
    </row>
    <row r="16">
      <c r="A16" s="34">
        <v>44562.0</v>
      </c>
      <c r="B16" s="37">
        <f t="shared" ref="B16:G16" si="32">B15</f>
        <v>27369.67</v>
      </c>
      <c r="C16" s="37">
        <f t="shared" si="32"/>
        <v>27303.62</v>
      </c>
      <c r="D16" s="35">
        <f t="shared" si="32"/>
        <v>30303.62</v>
      </c>
      <c r="E16" s="35">
        <f t="shared" si="32"/>
        <v>27303.62</v>
      </c>
      <c r="F16" s="35">
        <f t="shared" si="32"/>
        <v>30303.62</v>
      </c>
      <c r="G16" s="36">
        <f t="shared" si="32"/>
        <v>27303.7</v>
      </c>
      <c r="H16" s="37">
        <f>G16+11826.61</f>
        <v>39130.31</v>
      </c>
      <c r="I16" s="35">
        <f t="shared" si="30"/>
        <v>27303.7</v>
      </c>
      <c r="J16" s="35">
        <f t="shared" si="31"/>
        <v>39130.31</v>
      </c>
    </row>
    <row r="17">
      <c r="A17" s="34">
        <v>44958.0</v>
      </c>
      <c r="B17" s="35">
        <f t="shared" ref="B17:G17" si="33">B16</f>
        <v>27369.67</v>
      </c>
      <c r="C17" s="35">
        <f t="shared" si="33"/>
        <v>27303.62</v>
      </c>
      <c r="D17" s="35">
        <f t="shared" si="33"/>
        <v>30303.62</v>
      </c>
      <c r="E17" s="35">
        <f t="shared" si="33"/>
        <v>27303.62</v>
      </c>
      <c r="F17" s="35">
        <f t="shared" si="33"/>
        <v>30303.62</v>
      </c>
      <c r="G17" s="36">
        <f t="shared" si="33"/>
        <v>27303.7</v>
      </c>
      <c r="H17" s="35">
        <f>G17+(11991.46-1.84)</f>
        <v>39293.32</v>
      </c>
      <c r="I17" s="35">
        <f t="shared" si="30"/>
        <v>27303.7</v>
      </c>
      <c r="J17" s="35">
        <f t="shared" si="31"/>
        <v>39293.32</v>
      </c>
    </row>
    <row r="18">
      <c r="A18" s="34">
        <v>45017.0</v>
      </c>
      <c r="B18" s="35">
        <f t="shared" ref="B18:G18" si="34">B17</f>
        <v>27369.67</v>
      </c>
      <c r="C18" s="35">
        <f t="shared" si="34"/>
        <v>27303.62</v>
      </c>
      <c r="D18" s="35">
        <f t="shared" si="34"/>
        <v>30303.62</v>
      </c>
      <c r="E18" s="35">
        <f t="shared" si="34"/>
        <v>27303.62</v>
      </c>
      <c r="F18" s="35">
        <f t="shared" si="34"/>
        <v>30303.62</v>
      </c>
      <c r="G18" s="36">
        <f t="shared" si="34"/>
        <v>27303.7</v>
      </c>
      <c r="H18" s="35">
        <f>G18+14098.83</f>
        <v>41402.53</v>
      </c>
      <c r="I18" s="35">
        <f t="shared" si="30"/>
        <v>27303.7</v>
      </c>
      <c r="J18" s="35">
        <f t="shared" si="31"/>
        <v>41402.53</v>
      </c>
    </row>
    <row r="19">
      <c r="A19" s="34">
        <v>45047.0</v>
      </c>
      <c r="B19" s="35">
        <f t="shared" ref="B19:C19" si="35">B18*1.09</f>
        <v>29832.9403</v>
      </c>
      <c r="C19" s="35">
        <f t="shared" si="35"/>
        <v>29760.9458</v>
      </c>
      <c r="D19" s="35">
        <f>C19+3000</f>
        <v>32760.9458</v>
      </c>
      <c r="E19" s="35">
        <f t="shared" ref="E19:F19" si="36">C19</f>
        <v>29760.9458</v>
      </c>
      <c r="F19" s="35">
        <f t="shared" si="36"/>
        <v>32760.9458</v>
      </c>
      <c r="G19" s="35">
        <f>27303.7*1.09</f>
        <v>29761.033</v>
      </c>
      <c r="H19" s="35">
        <f>G19+(12064.89-175)</f>
        <v>41650.923</v>
      </c>
      <c r="I19" s="35">
        <f t="shared" ref="I19:J19" si="37">G19</f>
        <v>29761.033</v>
      </c>
      <c r="J19" s="35">
        <f t="shared" si="37"/>
        <v>41650.923</v>
      </c>
    </row>
    <row r="20">
      <c r="A20" s="34">
        <v>45323.0</v>
      </c>
      <c r="B20" s="35">
        <f>29832.94</f>
        <v>29832.94</v>
      </c>
      <c r="C20" s="35">
        <v>29760.95</v>
      </c>
      <c r="D20" s="35">
        <f>C20+4500</f>
        <v>34260.95</v>
      </c>
      <c r="E20" s="35">
        <f t="shared" ref="E20:E21" si="39">E19</f>
        <v>29760.9458</v>
      </c>
      <c r="F20" s="35">
        <f t="shared" ref="F20:F21" si="40">D20</f>
        <v>34260.95</v>
      </c>
      <c r="G20" s="35">
        <v>29761.03</v>
      </c>
      <c r="H20" s="35">
        <f>(29761.03+14247.49)</f>
        <v>44008.52</v>
      </c>
      <c r="I20" s="35">
        <f>I19</f>
        <v>29761.033</v>
      </c>
      <c r="J20" s="35">
        <f t="shared" ref="J20:J21" si="42">H20</f>
        <v>44008.52</v>
      </c>
    </row>
    <row r="21">
      <c r="A21" s="34">
        <v>45505.0</v>
      </c>
      <c r="B21" s="35">
        <f t="shared" ref="B21:C21" si="38">B20</f>
        <v>29832.94</v>
      </c>
      <c r="C21" s="35">
        <f t="shared" si="38"/>
        <v>29760.95</v>
      </c>
      <c r="D21" s="35">
        <f>C21+5000</f>
        <v>34760.95</v>
      </c>
      <c r="E21" s="35">
        <f t="shared" si="39"/>
        <v>29760.9458</v>
      </c>
      <c r="F21" s="35">
        <f t="shared" si="40"/>
        <v>34760.95</v>
      </c>
      <c r="G21" s="35">
        <f t="shared" ref="G21:I21" si="41">G20</f>
        <v>29761.03</v>
      </c>
      <c r="H21" s="35">
        <f t="shared" si="41"/>
        <v>44008.52</v>
      </c>
      <c r="I21" s="35">
        <f t="shared" si="41"/>
        <v>29761.033</v>
      </c>
      <c r="J21" s="35">
        <f t="shared" si="42"/>
        <v>44008.52</v>
      </c>
    </row>
    <row r="22">
      <c r="A22" s="34">
        <v>45658.0</v>
      </c>
      <c r="B22" s="35">
        <v>33086.1</v>
      </c>
      <c r="C22" s="35">
        <f>C21</f>
        <v>29760.95</v>
      </c>
      <c r="D22" s="35">
        <f>C22+7000</f>
        <v>36760.95</v>
      </c>
      <c r="E22" s="35">
        <f>E21*1.045</f>
        <v>31100.18836</v>
      </c>
      <c r="F22" s="35">
        <f>E22+5000</f>
        <v>36100.18836</v>
      </c>
      <c r="G22" s="35">
        <f t="shared" ref="G22:G26" si="44">G21</f>
        <v>29761.03</v>
      </c>
      <c r="H22" s="35">
        <f>G22+16605.16</f>
        <v>46366.19</v>
      </c>
      <c r="I22" s="35">
        <f>I21*1.045</f>
        <v>31100.27949</v>
      </c>
      <c r="J22" s="35">
        <f>I22+15265.91</f>
        <v>46366.18949</v>
      </c>
    </row>
    <row r="23">
      <c r="A23" s="34">
        <v>45689.0</v>
      </c>
      <c r="B23" s="35">
        <f t="shared" ref="B23:D23" si="43">B22</f>
        <v>33086.1</v>
      </c>
      <c r="C23" s="35">
        <f t="shared" si="43"/>
        <v>29760.95</v>
      </c>
      <c r="D23" s="35">
        <f t="shared" si="43"/>
        <v>36760.95</v>
      </c>
      <c r="E23" s="35">
        <v>31100.19</v>
      </c>
      <c r="F23" s="35">
        <f>E23+7000</f>
        <v>38100.19</v>
      </c>
      <c r="G23" s="35">
        <f t="shared" si="44"/>
        <v>29761.03</v>
      </c>
      <c r="H23" s="35">
        <v>46366.19</v>
      </c>
      <c r="I23" s="35">
        <v>31100.28</v>
      </c>
      <c r="J23" s="35">
        <f>H23</f>
        <v>46366.19</v>
      </c>
    </row>
    <row r="24">
      <c r="A24" s="34">
        <v>46054.0</v>
      </c>
      <c r="B24" s="35">
        <f t="shared" ref="B24:C24" si="45">B23</f>
        <v>33086.1</v>
      </c>
      <c r="C24" s="35">
        <f t="shared" si="45"/>
        <v>29760.95</v>
      </c>
      <c r="D24" s="35">
        <f>C24+11500</f>
        <v>41260.95</v>
      </c>
      <c r="E24" s="35">
        <f>E23</f>
        <v>31100.19</v>
      </c>
      <c r="F24" s="35">
        <f t="shared" ref="F24:F25" si="48">E24+11500</f>
        <v>42600.19</v>
      </c>
      <c r="G24" s="35">
        <f t="shared" si="44"/>
        <v>29761.03</v>
      </c>
      <c r="H24" s="35">
        <f t="shared" ref="H24:J24" si="46">H23</f>
        <v>46366.19</v>
      </c>
      <c r="I24" s="35">
        <f t="shared" si="46"/>
        <v>31100.28</v>
      </c>
      <c r="J24" s="35">
        <f t="shared" si="46"/>
        <v>46366.19</v>
      </c>
    </row>
    <row r="25">
      <c r="A25" s="34">
        <v>46113.0</v>
      </c>
      <c r="B25" s="35">
        <v>36694.0</v>
      </c>
      <c r="C25" s="35">
        <f t="shared" ref="C25:D25" si="47">C24</f>
        <v>29760.95</v>
      </c>
      <c r="D25" s="35">
        <f t="shared" si="47"/>
        <v>41260.95</v>
      </c>
      <c r="E25" s="35">
        <f>E24*1.045</f>
        <v>32499.69855</v>
      </c>
      <c r="F25" s="35">
        <f t="shared" si="48"/>
        <v>43999.69855</v>
      </c>
      <c r="G25" s="35">
        <f t="shared" si="44"/>
        <v>29761.03</v>
      </c>
      <c r="H25" s="35">
        <f t="shared" ref="H25:H26" si="50">H24</f>
        <v>46366.19</v>
      </c>
      <c r="I25" s="35">
        <f>I24*1.045</f>
        <v>32499.7926</v>
      </c>
      <c r="J25" s="35">
        <f>I25+13866.4</f>
        <v>46366.1926</v>
      </c>
    </row>
    <row r="26">
      <c r="A26" s="34">
        <v>46419.0</v>
      </c>
      <c r="B26" s="35">
        <f t="shared" ref="B26:C26" si="49">B25</f>
        <v>36694</v>
      </c>
      <c r="C26" s="35">
        <f t="shared" si="49"/>
        <v>29760.95</v>
      </c>
      <c r="D26" s="35">
        <f>C26+(11500*1.035)</f>
        <v>41663.45</v>
      </c>
      <c r="E26" s="35">
        <v>32499.7</v>
      </c>
      <c r="F26" s="35">
        <f>E26+(11500*1.035)</f>
        <v>44402.2</v>
      </c>
      <c r="G26" s="35">
        <f t="shared" si="44"/>
        <v>29761.03</v>
      </c>
      <c r="H26" s="35">
        <f t="shared" si="50"/>
        <v>46366.19</v>
      </c>
      <c r="I26" s="35">
        <v>32499.79</v>
      </c>
      <c r="J26" s="35">
        <f>J25</f>
        <v>46366.1926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12.88"/>
    <col customWidth="1" min="3" max="3" width="12.75"/>
    <col customWidth="1" min="4" max="4" width="12.88"/>
    <col customWidth="1" min="5" max="5" width="13.0"/>
    <col customWidth="1" min="6" max="6" width="13.88"/>
    <col customWidth="1" min="7" max="7" width="14.75"/>
    <col customWidth="1" min="8" max="8" width="14.0"/>
    <col customWidth="1" min="9" max="9" width="14.88"/>
    <col customWidth="1" min="10" max="10" width="12.88"/>
    <col customWidth="1" min="11" max="11" width="11.25"/>
  </cols>
  <sheetData>
    <row r="1">
      <c r="A1" s="39" t="s">
        <v>9</v>
      </c>
      <c r="B1" s="40" t="s">
        <v>19</v>
      </c>
      <c r="C1" s="41" t="s">
        <v>20</v>
      </c>
      <c r="D1" s="40" t="s">
        <v>21</v>
      </c>
      <c r="E1" s="41" t="s">
        <v>22</v>
      </c>
      <c r="F1" s="40" t="s">
        <v>23</v>
      </c>
      <c r="G1" s="41" t="s">
        <v>24</v>
      </c>
      <c r="H1" s="40" t="s">
        <v>25</v>
      </c>
      <c r="I1" s="41" t="s">
        <v>26</v>
      </c>
      <c r="J1" s="40" t="s">
        <v>27</v>
      </c>
      <c r="K1" s="41" t="s">
        <v>28</v>
      </c>
    </row>
    <row r="2">
      <c r="A2" s="42">
        <v>39630.0</v>
      </c>
      <c r="B2" s="43">
        <v>7123.0</v>
      </c>
      <c r="C2" s="44">
        <f t="shared" ref="C2:C13" si="1">B2/D2</f>
        <v>0.4908487004</v>
      </c>
      <c r="D2" s="45">
        <v>14511.6</v>
      </c>
      <c r="E2" s="44">
        <f t="shared" ref="E2:E26" si="2">D2/J2</f>
        <v>0.87</v>
      </c>
      <c r="F2" s="43">
        <v>9456.0</v>
      </c>
      <c r="G2" s="44">
        <f t="shared" ref="G2:G26" si="3">F2/H2</f>
        <v>0.5669064748</v>
      </c>
      <c r="H2" s="45">
        <f>16680</f>
        <v>16680</v>
      </c>
      <c r="I2" s="44">
        <f t="shared" ref="I2:I26" si="4">H2/J2</f>
        <v>1</v>
      </c>
      <c r="J2" s="45">
        <f>16680</f>
        <v>16680</v>
      </c>
      <c r="K2" s="44">
        <f t="shared" ref="K2:K26" si="5">J2/J2</f>
        <v>1</v>
      </c>
    </row>
    <row r="3">
      <c r="A3" s="42">
        <v>39995.0</v>
      </c>
      <c r="B3" s="43">
        <v>7538.0</v>
      </c>
      <c r="C3" s="44">
        <f t="shared" si="1"/>
        <v>0.4345419957</v>
      </c>
      <c r="D3" s="45">
        <v>17347.0</v>
      </c>
      <c r="E3" s="44">
        <f t="shared" si="2"/>
        <v>0.95</v>
      </c>
      <c r="F3" s="43">
        <v>10608.0</v>
      </c>
      <c r="G3" s="44">
        <f t="shared" si="3"/>
        <v>0.5809419496</v>
      </c>
      <c r="H3" s="45">
        <f>18260</f>
        <v>18260</v>
      </c>
      <c r="I3" s="44">
        <f t="shared" si="4"/>
        <v>1</v>
      </c>
      <c r="J3" s="45">
        <f>18260</f>
        <v>18260</v>
      </c>
      <c r="K3" s="44">
        <f t="shared" si="5"/>
        <v>1</v>
      </c>
    </row>
    <row r="4">
      <c r="A4" s="42">
        <v>40360.0</v>
      </c>
      <c r="B4" s="43">
        <v>8449.13</v>
      </c>
      <c r="C4" s="44">
        <f t="shared" si="1"/>
        <v>0.4572423553</v>
      </c>
      <c r="D4" s="45">
        <v>18478.45</v>
      </c>
      <c r="E4" s="44">
        <f t="shared" si="2"/>
        <v>0.95</v>
      </c>
      <c r="F4" s="43">
        <v>11595.0</v>
      </c>
      <c r="G4" s="44">
        <f t="shared" si="3"/>
        <v>0.5961133104</v>
      </c>
      <c r="H4" s="45">
        <f>19451</f>
        <v>19451</v>
      </c>
      <c r="I4" s="44">
        <f t="shared" si="4"/>
        <v>1</v>
      </c>
      <c r="J4" s="45">
        <f>19451</f>
        <v>19451</v>
      </c>
      <c r="K4" s="44">
        <f t="shared" si="5"/>
        <v>1</v>
      </c>
    </row>
    <row r="5">
      <c r="A5" s="42">
        <v>41275.0</v>
      </c>
      <c r="B5" s="45">
        <v>8871.59</v>
      </c>
      <c r="C5" s="44">
        <f t="shared" si="1"/>
        <v>0.4572425946</v>
      </c>
      <c r="D5" s="45">
        <v>19402.37</v>
      </c>
      <c r="E5" s="44">
        <f t="shared" si="2"/>
        <v>0.9499998776</v>
      </c>
      <c r="F5" s="43">
        <v>12174.75</v>
      </c>
      <c r="G5" s="44">
        <f t="shared" si="3"/>
        <v>0.5961133104</v>
      </c>
      <c r="H5" s="45">
        <f>20423.55</f>
        <v>20423.55</v>
      </c>
      <c r="I5" s="44">
        <f t="shared" si="4"/>
        <v>1</v>
      </c>
      <c r="J5" s="45">
        <f>20423.55</f>
        <v>20423.55</v>
      </c>
      <c r="K5" s="44">
        <f t="shared" si="5"/>
        <v>1</v>
      </c>
    </row>
    <row r="6">
      <c r="A6" s="42">
        <v>41640.0</v>
      </c>
      <c r="B6" s="45">
        <v>9306.29</v>
      </c>
      <c r="C6" s="44">
        <f t="shared" si="1"/>
        <v>0.457242119</v>
      </c>
      <c r="D6" s="45">
        <v>20353.09</v>
      </c>
      <c r="E6" s="44">
        <f t="shared" si="2"/>
        <v>0.9500002334</v>
      </c>
      <c r="F6" s="43">
        <v>12759.14</v>
      </c>
      <c r="G6" s="44">
        <f t="shared" si="3"/>
        <v>0.596113415</v>
      </c>
      <c r="H6" s="45">
        <f>21403.88</f>
        <v>21403.88</v>
      </c>
      <c r="I6" s="44">
        <f t="shared" si="4"/>
        <v>0.9990468767</v>
      </c>
      <c r="J6" s="45">
        <f>21424.3</f>
        <v>21424.3</v>
      </c>
      <c r="K6" s="44">
        <f t="shared" si="5"/>
        <v>1</v>
      </c>
    </row>
    <row r="7">
      <c r="A7" s="42">
        <v>42005.0</v>
      </c>
      <c r="B7" s="45">
        <v>9780.92</v>
      </c>
      <c r="C7" s="44">
        <f t="shared" si="1"/>
        <v>0.457242498</v>
      </c>
      <c r="D7" s="45">
        <v>21391.1</v>
      </c>
      <c r="E7" s="44">
        <f t="shared" si="2"/>
        <v>0.9500003109</v>
      </c>
      <c r="F7" s="43">
        <v>13422.61</v>
      </c>
      <c r="G7" s="44">
        <f t="shared" si="3"/>
        <v>0.5961132271</v>
      </c>
      <c r="H7" s="45">
        <f>22516.88</f>
        <v>22516.88</v>
      </c>
      <c r="I7" s="44">
        <f t="shared" si="4"/>
        <v>0.9999973353</v>
      </c>
      <c r="J7" s="45">
        <f>22516.94</f>
        <v>22516.94</v>
      </c>
      <c r="K7" s="44">
        <f t="shared" si="5"/>
        <v>1</v>
      </c>
    </row>
    <row r="8">
      <c r="A8" s="42">
        <v>42583.0</v>
      </c>
      <c r="B8" s="45">
        <v>10318.87</v>
      </c>
      <c r="C8" s="44">
        <f t="shared" si="1"/>
        <v>0.4572424816</v>
      </c>
      <c r="D8" s="45">
        <v>22567.61</v>
      </c>
      <c r="E8" s="44">
        <f t="shared" si="2"/>
        <v>0.8434796454</v>
      </c>
      <c r="F8" s="45">
        <f>F7</f>
        <v>13422.61</v>
      </c>
      <c r="G8" s="44">
        <f t="shared" si="3"/>
        <v>0.5961132271</v>
      </c>
      <c r="H8" s="45">
        <f>H7</f>
        <v>22516.88</v>
      </c>
      <c r="I8" s="44">
        <f t="shared" si="4"/>
        <v>0.8415835774</v>
      </c>
      <c r="J8" s="45">
        <f>(23755.37+3000)</f>
        <v>26755.37</v>
      </c>
      <c r="K8" s="44">
        <f t="shared" si="5"/>
        <v>1</v>
      </c>
    </row>
    <row r="9">
      <c r="A9" s="42">
        <v>42614.0</v>
      </c>
      <c r="B9" s="45">
        <f t="shared" ref="B9:B10" si="6">B8</f>
        <v>10318.87</v>
      </c>
      <c r="C9" s="44">
        <f t="shared" si="1"/>
        <v>0.4572424816</v>
      </c>
      <c r="D9" s="45">
        <f t="shared" ref="D9:D10" si="7">D8</f>
        <v>22567.61</v>
      </c>
      <c r="E9" s="44">
        <f t="shared" si="2"/>
        <v>0.8434796454</v>
      </c>
      <c r="F9" s="43">
        <f>13422.61+1800</f>
        <v>15222.61</v>
      </c>
      <c r="G9" s="44">
        <f t="shared" si="3"/>
        <v>0.596570192</v>
      </c>
      <c r="H9" s="45">
        <f>(22516.88+3000)</f>
        <v>25516.88</v>
      </c>
      <c r="I9" s="44">
        <f t="shared" si="4"/>
        <v>0.9537106009</v>
      </c>
      <c r="J9" s="45">
        <f t="shared" ref="J9:J10" si="8">J8</f>
        <v>26755.37</v>
      </c>
      <c r="K9" s="44">
        <f t="shared" si="5"/>
        <v>1</v>
      </c>
    </row>
    <row r="10">
      <c r="A10" s="42">
        <v>42734.0</v>
      </c>
      <c r="B10" s="45">
        <f t="shared" si="6"/>
        <v>10318.87</v>
      </c>
      <c r="C10" s="44">
        <f t="shared" si="1"/>
        <v>0.4572424816</v>
      </c>
      <c r="D10" s="45">
        <f t="shared" si="7"/>
        <v>22567.61</v>
      </c>
      <c r="E10" s="44">
        <f t="shared" si="2"/>
        <v>0.8434796454</v>
      </c>
      <c r="F10" s="43">
        <f>14160.85+1800</f>
        <v>15960.85</v>
      </c>
      <c r="G10" s="44">
        <f t="shared" si="3"/>
        <v>0.596548872</v>
      </c>
      <c r="H10" s="45">
        <f>(23755.31+3000)</f>
        <v>26755.31</v>
      </c>
      <c r="I10" s="44">
        <f t="shared" si="4"/>
        <v>0.9999977575</v>
      </c>
      <c r="J10" s="45">
        <f t="shared" si="8"/>
        <v>26755.37</v>
      </c>
      <c r="K10" s="44">
        <f t="shared" si="5"/>
        <v>1</v>
      </c>
    </row>
    <row r="11">
      <c r="A11" s="42">
        <v>42736.0</v>
      </c>
      <c r="B11" s="45">
        <v>11039.05</v>
      </c>
      <c r="C11" s="44">
        <f t="shared" si="1"/>
        <v>0.4572424911</v>
      </c>
      <c r="D11" s="45">
        <v>24142.66</v>
      </c>
      <c r="E11" s="44">
        <f t="shared" si="2"/>
        <v>0.8439825153</v>
      </c>
      <c r="F11" s="43">
        <f>14868.9+1800</f>
        <v>16668.9</v>
      </c>
      <c r="G11" s="44">
        <f t="shared" si="3"/>
        <v>0.5965307319</v>
      </c>
      <c r="H11" s="45">
        <f>(24943.07+3000)</f>
        <v>27943.07</v>
      </c>
      <c r="I11" s="44">
        <f t="shared" si="4"/>
        <v>0.9768377844</v>
      </c>
      <c r="J11" s="45">
        <f>(24943.14+3662.5)</f>
        <v>28605.64</v>
      </c>
      <c r="K11" s="44">
        <f t="shared" si="5"/>
        <v>1</v>
      </c>
    </row>
    <row r="12">
      <c r="A12" s="42">
        <v>43101.0</v>
      </c>
      <c r="B12" s="45">
        <v>11771.99</v>
      </c>
      <c r="C12" s="44">
        <f t="shared" si="1"/>
        <v>0.4572426134</v>
      </c>
      <c r="D12" s="45">
        <v>25745.61</v>
      </c>
      <c r="E12" s="44">
        <f t="shared" si="2"/>
        <v>0.790229138</v>
      </c>
      <c r="F12" s="43">
        <f>15575.17+1800</f>
        <v>17375.17</v>
      </c>
      <c r="G12" s="44">
        <f t="shared" si="3"/>
        <v>0.5965135796</v>
      </c>
      <c r="H12" s="45">
        <f>(26127.87+3000)</f>
        <v>29127.87</v>
      </c>
      <c r="I12" s="44">
        <f t="shared" si="4"/>
        <v>0.8940433574</v>
      </c>
      <c r="J12" s="45">
        <f>(26127.94+6451.99)</f>
        <v>32579.93</v>
      </c>
      <c r="K12" s="44">
        <f t="shared" si="5"/>
        <v>1</v>
      </c>
    </row>
    <row r="13">
      <c r="A13" s="42">
        <v>43466.0</v>
      </c>
      <c r="B13" s="45">
        <v>12514.58</v>
      </c>
      <c r="C13" s="44">
        <f t="shared" si="1"/>
        <v>0.4572426339</v>
      </c>
      <c r="D13" s="45">
        <v>27369.67</v>
      </c>
      <c r="E13" s="44">
        <f t="shared" si="2"/>
        <v>0.7928629883</v>
      </c>
      <c r="F13" s="43">
        <f>16276.05+1800</f>
        <v>18076.05</v>
      </c>
      <c r="G13" s="44">
        <f t="shared" si="3"/>
        <v>0.5964980421</v>
      </c>
      <c r="H13" s="45">
        <f>(27303.62+3000)</f>
        <v>30303.62</v>
      </c>
      <c r="I13" s="44">
        <f t="shared" si="4"/>
        <v>0.877855623</v>
      </c>
      <c r="J13" s="45">
        <f>(27303.7+7216.35)</f>
        <v>34520.05</v>
      </c>
      <c r="K13" s="44">
        <f t="shared" si="5"/>
        <v>1</v>
      </c>
    </row>
    <row r="14">
      <c r="A14" s="42">
        <v>43831.0</v>
      </c>
      <c r="B14" s="45">
        <f t="shared" ref="B14:B18" si="9">B13</f>
        <v>12514.58</v>
      </c>
      <c r="C14" s="44">
        <f>B18/D14</f>
        <v>0.4572426339</v>
      </c>
      <c r="D14" s="45">
        <f t="shared" ref="D14:D18" si="10">D13</f>
        <v>27369.67</v>
      </c>
      <c r="E14" s="44">
        <f t="shared" si="2"/>
        <v>0.7785715302</v>
      </c>
      <c r="F14" s="45">
        <f t="shared" ref="F14:F18" si="11">F13</f>
        <v>18076.05</v>
      </c>
      <c r="G14" s="44">
        <f t="shared" si="3"/>
        <v>0.5964980421</v>
      </c>
      <c r="H14" s="45">
        <f t="shared" ref="H14:H18" si="12">H13</f>
        <v>30303.62</v>
      </c>
      <c r="I14" s="44">
        <f t="shared" si="4"/>
        <v>0.8620321616</v>
      </c>
      <c r="J14" s="45">
        <f>(27303.7+7850)</f>
        <v>35153.7</v>
      </c>
      <c r="K14" s="44">
        <f t="shared" si="5"/>
        <v>1</v>
      </c>
    </row>
    <row r="15">
      <c r="A15" s="42">
        <v>44197.0</v>
      </c>
      <c r="B15" s="45">
        <f t="shared" si="9"/>
        <v>12514.58</v>
      </c>
      <c r="C15" s="44">
        <f t="shared" ref="C15:C26" si="13">B15/D15</f>
        <v>0.4572426339</v>
      </c>
      <c r="D15" s="45">
        <f t="shared" si="10"/>
        <v>27369.67</v>
      </c>
      <c r="E15" s="44">
        <f t="shared" si="2"/>
        <v>0.7417676887</v>
      </c>
      <c r="F15" s="45">
        <f t="shared" si="11"/>
        <v>18076.05</v>
      </c>
      <c r="G15" s="44">
        <f t="shared" si="3"/>
        <v>0.5964980421</v>
      </c>
      <c r="H15" s="45">
        <f t="shared" si="12"/>
        <v>30303.62</v>
      </c>
      <c r="I15" s="44">
        <f t="shared" si="4"/>
        <v>0.821283054</v>
      </c>
      <c r="J15" s="45">
        <f>(27303.7+9594.2)</f>
        <v>36897.9</v>
      </c>
      <c r="K15" s="44">
        <f t="shared" si="5"/>
        <v>1</v>
      </c>
    </row>
    <row r="16">
      <c r="A16" s="42">
        <v>44562.0</v>
      </c>
      <c r="B16" s="45">
        <f t="shared" si="9"/>
        <v>12514.58</v>
      </c>
      <c r="C16" s="44">
        <f t="shared" si="13"/>
        <v>0.4572426339</v>
      </c>
      <c r="D16" s="45">
        <f t="shared" si="10"/>
        <v>27369.67</v>
      </c>
      <c r="E16" s="44">
        <f t="shared" si="2"/>
        <v>0.6994493527</v>
      </c>
      <c r="F16" s="45">
        <f t="shared" si="11"/>
        <v>18076.05</v>
      </c>
      <c r="G16" s="44">
        <f t="shared" si="3"/>
        <v>0.5964980421</v>
      </c>
      <c r="H16" s="45">
        <f t="shared" si="12"/>
        <v>30303.62</v>
      </c>
      <c r="I16" s="44">
        <f t="shared" si="4"/>
        <v>0.774428314</v>
      </c>
      <c r="J16" s="45">
        <f>(27303.7+11826.61)</f>
        <v>39130.31</v>
      </c>
      <c r="K16" s="44">
        <f t="shared" si="5"/>
        <v>1</v>
      </c>
    </row>
    <row r="17">
      <c r="A17" s="42">
        <v>44958.0</v>
      </c>
      <c r="B17" s="45">
        <f t="shared" si="9"/>
        <v>12514.58</v>
      </c>
      <c r="C17" s="44">
        <f t="shared" si="13"/>
        <v>0.4572426339</v>
      </c>
      <c r="D17" s="45">
        <f t="shared" si="10"/>
        <v>27369.67</v>
      </c>
      <c r="E17" s="44">
        <f t="shared" si="2"/>
        <v>0.6965476575</v>
      </c>
      <c r="F17" s="45">
        <f t="shared" si="11"/>
        <v>18076.05</v>
      </c>
      <c r="G17" s="44">
        <f t="shared" si="3"/>
        <v>0.5964980421</v>
      </c>
      <c r="H17" s="45">
        <f t="shared" si="12"/>
        <v>30303.62</v>
      </c>
      <c r="I17" s="44">
        <f t="shared" si="4"/>
        <v>0.7712155654</v>
      </c>
      <c r="J17" s="45">
        <f>(27303.7+(11991.46-1.84))</f>
        <v>39293.32</v>
      </c>
      <c r="K17" s="44">
        <f t="shared" si="5"/>
        <v>1</v>
      </c>
    </row>
    <row r="18">
      <c r="A18" s="42">
        <v>45017.0</v>
      </c>
      <c r="B18" s="45">
        <f t="shared" si="9"/>
        <v>12514.58</v>
      </c>
      <c r="C18" s="44">
        <f t="shared" si="13"/>
        <v>0.4572426339</v>
      </c>
      <c r="D18" s="45">
        <f t="shared" si="10"/>
        <v>27369.67</v>
      </c>
      <c r="E18" s="44">
        <f t="shared" si="2"/>
        <v>0.6610627418</v>
      </c>
      <c r="F18" s="45">
        <f t="shared" si="11"/>
        <v>18076.05</v>
      </c>
      <c r="G18" s="44">
        <f t="shared" si="3"/>
        <v>0.5964980421</v>
      </c>
      <c r="H18" s="45">
        <f t="shared" si="12"/>
        <v>30303.62</v>
      </c>
      <c r="I18" s="44">
        <f t="shared" si="4"/>
        <v>0.7319267687</v>
      </c>
      <c r="J18" s="45">
        <f>(27303.7+14098.83)</f>
        <v>41402.53</v>
      </c>
      <c r="K18" s="44">
        <f t="shared" si="5"/>
        <v>1</v>
      </c>
    </row>
    <row r="19">
      <c r="A19" s="42">
        <v>45047.0</v>
      </c>
      <c r="B19" s="45">
        <f>12514.58*1.09</f>
        <v>13640.8922</v>
      </c>
      <c r="C19" s="44">
        <f t="shared" si="13"/>
        <v>0.4572426339</v>
      </c>
      <c r="D19" s="45">
        <f>27369.67*1.09</f>
        <v>29832.9403</v>
      </c>
      <c r="E19" s="44">
        <f t="shared" si="2"/>
        <v>0.7162612051</v>
      </c>
      <c r="F19" s="45">
        <f>((16276.05*1.09)+1800)</f>
        <v>19540.8945</v>
      </c>
      <c r="G19" s="44">
        <f t="shared" si="3"/>
        <v>0.5964691807</v>
      </c>
      <c r="H19" s="45">
        <f>((27303.62*1.09)+3000)</f>
        <v>32760.9458</v>
      </c>
      <c r="I19" s="44">
        <f t="shared" si="4"/>
        <v>0.7865598993</v>
      </c>
      <c r="J19" s="45">
        <f>((27303.7*1.09)+(12064.89-175))</f>
        <v>41650.923</v>
      </c>
      <c r="K19" s="44">
        <f t="shared" si="5"/>
        <v>1</v>
      </c>
    </row>
    <row r="20">
      <c r="A20" s="42">
        <v>45323.0</v>
      </c>
      <c r="B20" s="45">
        <f>13640.89</f>
        <v>13640.89</v>
      </c>
      <c r="C20" s="44">
        <f t="shared" si="13"/>
        <v>0.4572425648</v>
      </c>
      <c r="D20" s="45">
        <v>29832.94</v>
      </c>
      <c r="E20" s="44">
        <f t="shared" si="2"/>
        <v>0.6778900995</v>
      </c>
      <c r="F20" s="45">
        <f>17740.89+2700</f>
        <v>20440.89</v>
      </c>
      <c r="G20" s="44">
        <f t="shared" si="3"/>
        <v>0.5966235612</v>
      </c>
      <c r="H20" s="45">
        <f>(29760.95+4500)</f>
        <v>34260.95</v>
      </c>
      <c r="I20" s="44">
        <f t="shared" si="4"/>
        <v>0.7785072072</v>
      </c>
      <c r="J20" s="45">
        <f>(29761.03+14247.49)</f>
        <v>44008.52</v>
      </c>
      <c r="K20" s="44">
        <f t="shared" si="5"/>
        <v>1</v>
      </c>
    </row>
    <row r="21">
      <c r="A21" s="42">
        <v>45505.0</v>
      </c>
      <c r="B21" s="45">
        <f>B20</f>
        <v>13640.89</v>
      </c>
      <c r="C21" s="44">
        <f t="shared" si="13"/>
        <v>0.4572425648</v>
      </c>
      <c r="D21" s="45">
        <f>D20</f>
        <v>29832.94</v>
      </c>
      <c r="E21" s="44">
        <f t="shared" si="2"/>
        <v>0.6778900995</v>
      </c>
      <c r="F21" s="45">
        <f>17740.89+3000</f>
        <v>20740.89</v>
      </c>
      <c r="G21" s="44">
        <f t="shared" si="3"/>
        <v>0.5966721278</v>
      </c>
      <c r="H21" s="45">
        <f>(29760.95+5000)</f>
        <v>34760.95</v>
      </c>
      <c r="I21" s="44">
        <f t="shared" si="4"/>
        <v>0.7898686436</v>
      </c>
      <c r="J21" s="45">
        <f t="shared" ref="J21:J22" si="14">J20</f>
        <v>44008.52</v>
      </c>
      <c r="K21" s="44">
        <f t="shared" si="5"/>
        <v>1</v>
      </c>
    </row>
    <row r="22">
      <c r="A22" s="46">
        <v>45658.0</v>
      </c>
      <c r="B22" s="43">
        <v>15189.85</v>
      </c>
      <c r="C22" s="44">
        <f t="shared" si="13"/>
        <v>0.4591006495</v>
      </c>
      <c r="D22" s="43">
        <v>33086.1</v>
      </c>
      <c r="E22" s="44">
        <f t="shared" si="2"/>
        <v>0.7518112402</v>
      </c>
      <c r="F22" s="45">
        <f t="shared" ref="F22:F23" si="15">17740.89+4200</f>
        <v>21940.89</v>
      </c>
      <c r="G22" s="44">
        <f t="shared" si="3"/>
        <v>0.6311936239</v>
      </c>
      <c r="H22" s="45">
        <f>H21</f>
        <v>34760.95</v>
      </c>
      <c r="I22" s="44">
        <f t="shared" si="4"/>
        <v>0.7898686436</v>
      </c>
      <c r="J22" s="45">
        <f t="shared" si="14"/>
        <v>44008.52</v>
      </c>
      <c r="K22" s="44">
        <f t="shared" si="5"/>
        <v>1</v>
      </c>
    </row>
    <row r="23">
      <c r="A23" s="46">
        <v>45689.0</v>
      </c>
      <c r="B23" s="45">
        <f t="shared" ref="B23:B24" si="16">B22</f>
        <v>15189.85</v>
      </c>
      <c r="C23" s="44">
        <f t="shared" si="13"/>
        <v>0.4591006495</v>
      </c>
      <c r="D23" s="45">
        <f t="shared" ref="D23:D24" si="17">D22</f>
        <v>33086.1</v>
      </c>
      <c r="E23" s="44">
        <f t="shared" si="2"/>
        <v>0.7135824617</v>
      </c>
      <c r="F23" s="45">
        <f t="shared" si="15"/>
        <v>21940.89</v>
      </c>
      <c r="G23" s="44">
        <f t="shared" si="3"/>
        <v>0.5968531825</v>
      </c>
      <c r="H23" s="45">
        <f>(29760.95+7000)</f>
        <v>36760.95</v>
      </c>
      <c r="I23" s="44">
        <f t="shared" si="4"/>
        <v>0.7928395669</v>
      </c>
      <c r="J23" s="45">
        <f>(29761.03+16605.16)</f>
        <v>46366.19</v>
      </c>
      <c r="K23" s="44">
        <f t="shared" si="5"/>
        <v>1</v>
      </c>
    </row>
    <row r="24">
      <c r="A24" s="42">
        <v>46054.0</v>
      </c>
      <c r="B24" s="43">
        <f t="shared" si="16"/>
        <v>15189.85</v>
      </c>
      <c r="C24" s="44">
        <f t="shared" si="13"/>
        <v>0.4591006495</v>
      </c>
      <c r="D24" s="45">
        <f t="shared" si="17"/>
        <v>33086.1</v>
      </c>
      <c r="E24" s="44">
        <f t="shared" si="2"/>
        <v>0.7135824617</v>
      </c>
      <c r="F24" s="45">
        <f>18539.23+6900</f>
        <v>25439.23</v>
      </c>
      <c r="G24" s="44">
        <f t="shared" si="3"/>
        <v>0.6165449414</v>
      </c>
      <c r="H24" s="45">
        <f>(29760.95+11500)</f>
        <v>41260.95</v>
      </c>
      <c r="I24" s="44">
        <f t="shared" si="4"/>
        <v>0.8898930449</v>
      </c>
      <c r="J24" s="45">
        <f t="shared" ref="J24:J26" si="18">J23</f>
        <v>46366.19</v>
      </c>
      <c r="K24" s="44">
        <f t="shared" si="5"/>
        <v>1</v>
      </c>
    </row>
    <row r="25">
      <c r="A25" s="46">
        <v>46113.0</v>
      </c>
      <c r="B25" s="43">
        <v>16914.7</v>
      </c>
      <c r="C25" s="44">
        <f t="shared" si="13"/>
        <v>0.4609663705</v>
      </c>
      <c r="D25" s="43">
        <v>36694.0</v>
      </c>
      <c r="E25" s="44">
        <f t="shared" si="2"/>
        <v>0.7913956269</v>
      </c>
      <c r="F25" s="45">
        <f>((18539.23*1.045)+6900)</f>
        <v>26273.49535</v>
      </c>
      <c r="G25" s="44">
        <f t="shared" si="3"/>
        <v>0.6367641887</v>
      </c>
      <c r="H25" s="45">
        <f>H24</f>
        <v>41260.95</v>
      </c>
      <c r="I25" s="44">
        <f t="shared" si="4"/>
        <v>0.8898930449</v>
      </c>
      <c r="J25" s="45">
        <f t="shared" si="18"/>
        <v>46366.19</v>
      </c>
      <c r="K25" s="44">
        <f t="shared" si="5"/>
        <v>1</v>
      </c>
    </row>
    <row r="26">
      <c r="A26" s="42">
        <v>46419.0</v>
      </c>
      <c r="B26" s="45">
        <f>B25</f>
        <v>16914.7</v>
      </c>
      <c r="C26" s="44">
        <f t="shared" si="13"/>
        <v>0.4609663705</v>
      </c>
      <c r="D26" s="45">
        <f>D25</f>
        <v>36694</v>
      </c>
      <c r="E26" s="44">
        <f t="shared" si="2"/>
        <v>0.7913956269</v>
      </c>
      <c r="F26" s="45">
        <f>(19373.5+(6900*1.035))</f>
        <v>26515</v>
      </c>
      <c r="G26" s="44">
        <f t="shared" si="3"/>
        <v>0.6364091308</v>
      </c>
      <c r="H26" s="45">
        <f>(29760.95+(11500*1.035))</f>
        <v>41663.45</v>
      </c>
      <c r="I26" s="44">
        <f t="shared" si="4"/>
        <v>0.8985739393</v>
      </c>
      <c r="J26" s="45">
        <f t="shared" si="18"/>
        <v>46366.19</v>
      </c>
      <c r="K26" s="44">
        <f t="shared" si="5"/>
        <v>1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16.38"/>
    <col customWidth="1" min="3" max="3" width="16.13"/>
    <col customWidth="1" min="4" max="4" width="16.75"/>
    <col customWidth="1" min="5" max="5" width="16.38"/>
    <col customWidth="1" min="6" max="6" width="18.38"/>
    <col customWidth="1" min="7" max="7" width="18.13"/>
    <col customWidth="1" min="8" max="8" width="18.63"/>
    <col customWidth="1" min="9" max="9" width="18.38"/>
    <col customWidth="1" min="10" max="10" width="14.88"/>
    <col customWidth="1" min="11" max="11" width="14.63"/>
  </cols>
  <sheetData>
    <row r="1">
      <c r="A1" s="39" t="s">
        <v>9</v>
      </c>
      <c r="B1" s="41" t="s">
        <v>29</v>
      </c>
      <c r="C1" s="40" t="s">
        <v>30</v>
      </c>
      <c r="D1" s="41" t="s">
        <v>31</v>
      </c>
      <c r="E1" s="40" t="s">
        <v>32</v>
      </c>
      <c r="F1" s="41" t="s">
        <v>33</v>
      </c>
      <c r="G1" s="40" t="s">
        <v>34</v>
      </c>
      <c r="H1" s="41" t="s">
        <v>35</v>
      </c>
      <c r="I1" s="40" t="s">
        <v>36</v>
      </c>
      <c r="J1" s="41" t="s">
        <v>37</v>
      </c>
      <c r="K1" s="40" t="s">
        <v>38</v>
      </c>
    </row>
    <row r="2">
      <c r="A2" s="42">
        <v>39630.0</v>
      </c>
      <c r="B2" s="43">
        <v>4887.27</v>
      </c>
      <c r="C2" s="43">
        <v>7123.0</v>
      </c>
      <c r="D2" s="43">
        <v>10905.76</v>
      </c>
      <c r="E2" s="45">
        <v>14511.6</v>
      </c>
      <c r="F2" s="43">
        <v>7095.53</v>
      </c>
      <c r="G2" s="43">
        <v>9456.0</v>
      </c>
      <c r="H2" s="43">
        <v>12535.36</v>
      </c>
      <c r="I2" s="45">
        <f>16680</f>
        <v>16680</v>
      </c>
      <c r="J2" s="43">
        <v>14049.53</v>
      </c>
      <c r="K2" s="45">
        <f>16680</f>
        <v>16680</v>
      </c>
    </row>
    <row r="3">
      <c r="A3" s="42">
        <v>39995.0</v>
      </c>
      <c r="B3" s="43">
        <v>4896.25</v>
      </c>
      <c r="C3" s="43">
        <v>7538.0</v>
      </c>
      <c r="D3" s="43">
        <v>12413.65</v>
      </c>
      <c r="E3" s="45">
        <v>17347.0</v>
      </c>
      <c r="F3" s="43">
        <v>7624.56</v>
      </c>
      <c r="G3" s="43">
        <v>10608.0</v>
      </c>
      <c r="H3" s="43">
        <v>13067.0</v>
      </c>
      <c r="I3" s="45">
        <f>18260</f>
        <v>18260</v>
      </c>
      <c r="J3" s="43">
        <v>14549.53</v>
      </c>
      <c r="K3" s="45">
        <f>18260</f>
        <v>18260</v>
      </c>
    </row>
    <row r="4">
      <c r="A4" s="42">
        <v>40360.0</v>
      </c>
      <c r="B4" s="43">
        <v>4917.28</v>
      </c>
      <c r="C4" s="43">
        <v>8449.13</v>
      </c>
      <c r="D4" s="43">
        <v>12960.77</v>
      </c>
      <c r="E4" s="45">
        <v>18478.45</v>
      </c>
      <c r="F4" s="43">
        <v>7996.07</v>
      </c>
      <c r="G4" s="43">
        <v>11595.0</v>
      </c>
      <c r="H4" s="43">
        <v>13600.0</v>
      </c>
      <c r="I4" s="45">
        <f>19451</f>
        <v>19451</v>
      </c>
      <c r="J4" s="43">
        <v>14970.6</v>
      </c>
      <c r="K4" s="45">
        <f>19451</f>
        <v>19451</v>
      </c>
    </row>
    <row r="5">
      <c r="A5" s="42">
        <v>41275.0</v>
      </c>
      <c r="B5" s="43">
        <v>5163.14</v>
      </c>
      <c r="C5" s="45">
        <v>8871.59</v>
      </c>
      <c r="D5" s="43">
        <v>13608.81</v>
      </c>
      <c r="E5" s="45">
        <v>19402.37</v>
      </c>
      <c r="F5" s="43">
        <v>8395.88</v>
      </c>
      <c r="G5" s="43">
        <v>12174.75</v>
      </c>
      <c r="H5" s="43">
        <v>14280.0</v>
      </c>
      <c r="I5" s="45">
        <f>20423.55</f>
        <v>20423.55</v>
      </c>
      <c r="J5" s="43">
        <v>15719.13</v>
      </c>
      <c r="K5" s="45">
        <f>20423.55</f>
        <v>20423.55</v>
      </c>
    </row>
    <row r="6">
      <c r="A6" s="42">
        <v>41640.0</v>
      </c>
      <c r="B6" s="43">
        <v>5416.14</v>
      </c>
      <c r="C6" s="45">
        <v>9306.29</v>
      </c>
      <c r="D6" s="43">
        <v>14275.64</v>
      </c>
      <c r="E6" s="45">
        <v>20353.09</v>
      </c>
      <c r="F6" s="43">
        <v>8798.88</v>
      </c>
      <c r="G6" s="43">
        <v>12759.14</v>
      </c>
      <c r="H6" s="43">
        <v>14965.44</v>
      </c>
      <c r="I6" s="45">
        <f>21403.88</f>
        <v>21403.88</v>
      </c>
      <c r="J6" s="43">
        <v>16489.37</v>
      </c>
      <c r="K6" s="45">
        <f>21424.3</f>
        <v>21424.3</v>
      </c>
    </row>
    <row r="7">
      <c r="A7" s="42">
        <v>42005.0</v>
      </c>
      <c r="B7" s="43">
        <v>5692.36</v>
      </c>
      <c r="C7" s="45">
        <v>9780.92</v>
      </c>
      <c r="D7" s="43">
        <v>15003.7</v>
      </c>
      <c r="E7" s="45">
        <v>21391.1</v>
      </c>
      <c r="F7" s="43">
        <v>9256.42</v>
      </c>
      <c r="G7" s="43">
        <v>13422.61</v>
      </c>
      <c r="H7" s="43">
        <v>15743.64</v>
      </c>
      <c r="I7" s="45">
        <f>22516.88</f>
        <v>22516.88</v>
      </c>
      <c r="J7" s="43">
        <v>17330.33</v>
      </c>
      <c r="K7" s="45">
        <f>22516.94</f>
        <v>22516.94</v>
      </c>
    </row>
    <row r="8">
      <c r="A8" s="42">
        <v>42583.0</v>
      </c>
      <c r="B8" s="43">
        <v>6005.44</v>
      </c>
      <c r="C8" s="45">
        <v>10318.87</v>
      </c>
      <c r="D8" s="43">
        <v>15828.9</v>
      </c>
      <c r="E8" s="45">
        <v>22567.61</v>
      </c>
      <c r="F8" s="45">
        <f t="shared" ref="F8:I8" si="1">F7</f>
        <v>9256.42</v>
      </c>
      <c r="G8" s="45">
        <f t="shared" si="1"/>
        <v>13422.61</v>
      </c>
      <c r="H8" s="45">
        <f t="shared" si="1"/>
        <v>15743.64</v>
      </c>
      <c r="I8" s="45">
        <f t="shared" si="1"/>
        <v>22516.88</v>
      </c>
      <c r="J8" s="45">
        <f>(18283.5+(3000/2))</f>
        <v>19783.5</v>
      </c>
      <c r="K8" s="45">
        <f>(23755.37+3000)</f>
        <v>26755.37</v>
      </c>
    </row>
    <row r="9">
      <c r="A9" s="42">
        <v>42614.0</v>
      </c>
      <c r="B9" s="45">
        <f t="shared" ref="B9:E9" si="2">B8</f>
        <v>6005.44</v>
      </c>
      <c r="C9" s="45">
        <f t="shared" si="2"/>
        <v>10318.87</v>
      </c>
      <c r="D9" s="45">
        <f t="shared" si="2"/>
        <v>15828.9</v>
      </c>
      <c r="E9" s="45">
        <f t="shared" si="2"/>
        <v>22567.61</v>
      </c>
      <c r="F9" s="43">
        <f>9256.42+(1800/2)</f>
        <v>10156.42</v>
      </c>
      <c r="G9" s="43">
        <f>13422.61+1800</f>
        <v>15222.61</v>
      </c>
      <c r="H9" s="45">
        <f>(15743.64+(3000/2))</f>
        <v>17243.64</v>
      </c>
      <c r="I9" s="45">
        <f>(22516.88+3000)</f>
        <v>25516.88</v>
      </c>
      <c r="J9" s="45">
        <f t="shared" ref="J9:K9" si="3">J8</f>
        <v>19783.5</v>
      </c>
      <c r="K9" s="45">
        <f t="shared" si="3"/>
        <v>26755.37</v>
      </c>
    </row>
    <row r="10">
      <c r="A10" s="42">
        <v>42734.0</v>
      </c>
      <c r="B10" s="45">
        <f t="shared" ref="B10:E10" si="4">B9</f>
        <v>6005.44</v>
      </c>
      <c r="C10" s="45">
        <f t="shared" si="4"/>
        <v>10318.87</v>
      </c>
      <c r="D10" s="45">
        <f t="shared" si="4"/>
        <v>15828.9</v>
      </c>
      <c r="E10" s="45">
        <f t="shared" si="4"/>
        <v>22567.61</v>
      </c>
      <c r="F10" s="43">
        <f>10165.92+(1800/2)</f>
        <v>11065.92</v>
      </c>
      <c r="G10" s="43">
        <f>14160.85+1800</f>
        <v>15960.85</v>
      </c>
      <c r="H10" s="45">
        <f>(18296.2+(3000/2))</f>
        <v>19796.2</v>
      </c>
      <c r="I10" s="45">
        <f>(23755.31+3000)</f>
        <v>26755.31</v>
      </c>
      <c r="J10" s="45">
        <f t="shared" ref="J10:K10" si="5">J9</f>
        <v>19783.5</v>
      </c>
      <c r="K10" s="45">
        <f t="shared" si="5"/>
        <v>26755.37</v>
      </c>
    </row>
    <row r="11">
      <c r="A11" s="42">
        <v>42736.0</v>
      </c>
      <c r="B11" s="43">
        <v>6424.57</v>
      </c>
      <c r="C11" s="45">
        <v>11039.05</v>
      </c>
      <c r="D11" s="43">
        <v>16933.64</v>
      </c>
      <c r="E11" s="45">
        <v>24142.66</v>
      </c>
      <c r="F11" s="43">
        <f>10674.21+(1800/2)</f>
        <v>11574.21</v>
      </c>
      <c r="G11" s="43">
        <f>14868.9+1800</f>
        <v>16668.9</v>
      </c>
      <c r="H11" s="45">
        <f>(19211.01+(3000/2))</f>
        <v>20711.01</v>
      </c>
      <c r="I11" s="45">
        <f>(24943.07+3000)</f>
        <v>27943.07</v>
      </c>
      <c r="J11" s="45">
        <f>(19197.67+(3662.5/2))</f>
        <v>21028.92</v>
      </c>
      <c r="K11" s="45">
        <f>(24943.14+3662.5)</f>
        <v>28605.64</v>
      </c>
    </row>
    <row r="12">
      <c r="A12" s="42">
        <v>43101.0</v>
      </c>
      <c r="B12" s="43">
        <v>6851.13</v>
      </c>
      <c r="C12" s="45">
        <v>11771.99</v>
      </c>
      <c r="D12" s="43">
        <v>18057.95</v>
      </c>
      <c r="E12" s="45">
        <v>25745.61</v>
      </c>
      <c r="F12" s="43">
        <f>11181.24+(1800/2)</f>
        <v>12081.24</v>
      </c>
      <c r="G12" s="43">
        <f>15575.17+1800</f>
        <v>17375.17</v>
      </c>
      <c r="H12" s="45">
        <f>(20123.53+(3000/2))</f>
        <v>21623.53</v>
      </c>
      <c r="I12" s="45">
        <f>(26127.87+3000)</f>
        <v>29127.87</v>
      </c>
      <c r="J12" s="45">
        <f>(20109.56+(6451.99/2))</f>
        <v>23335.555</v>
      </c>
      <c r="K12" s="45">
        <f>(26127.94+6451.99)</f>
        <v>32579.93</v>
      </c>
    </row>
    <row r="13">
      <c r="A13" s="42">
        <v>43466.0</v>
      </c>
      <c r="B13" s="43">
        <v>7283.31</v>
      </c>
      <c r="C13" s="45">
        <v>12514.58</v>
      </c>
      <c r="D13" s="43">
        <v>19197.06</v>
      </c>
      <c r="E13" s="45">
        <v>27369.67</v>
      </c>
      <c r="F13" s="43">
        <f>11684.39+(1800/2)</f>
        <v>12584.39</v>
      </c>
      <c r="G13" s="43">
        <f>16276.05+1800</f>
        <v>18076.05</v>
      </c>
      <c r="H13" s="45">
        <f>(21029.09+(3000/2))</f>
        <v>22529.09</v>
      </c>
      <c r="I13" s="45">
        <f>(27303.62+3000)</f>
        <v>30303.62</v>
      </c>
      <c r="J13" s="45">
        <f>(21014.49+(7216.35/2))</f>
        <v>24622.665</v>
      </c>
      <c r="K13" s="45">
        <f>(27303.7+7216.35)</f>
        <v>34520.05</v>
      </c>
    </row>
    <row r="14">
      <c r="A14" s="42">
        <v>43831.0</v>
      </c>
      <c r="B14" s="45">
        <f t="shared" ref="B14:I14" si="6">B13</f>
        <v>7283.31</v>
      </c>
      <c r="C14" s="45">
        <f t="shared" si="6"/>
        <v>12514.58</v>
      </c>
      <c r="D14" s="45">
        <f t="shared" si="6"/>
        <v>19197.06</v>
      </c>
      <c r="E14" s="45">
        <f t="shared" si="6"/>
        <v>27369.67</v>
      </c>
      <c r="F14" s="45">
        <f t="shared" si="6"/>
        <v>12584.39</v>
      </c>
      <c r="G14" s="45">
        <f t="shared" si="6"/>
        <v>18076.05</v>
      </c>
      <c r="H14" s="45">
        <f t="shared" si="6"/>
        <v>22529.09</v>
      </c>
      <c r="I14" s="45">
        <f t="shared" si="6"/>
        <v>30303.62</v>
      </c>
      <c r="J14" s="45">
        <f>(21014.49+(7850/2))</f>
        <v>24939.49</v>
      </c>
      <c r="K14" s="45">
        <f>(27303.7+7850)</f>
        <v>35153.7</v>
      </c>
    </row>
    <row r="15">
      <c r="A15" s="42">
        <v>44197.0</v>
      </c>
      <c r="B15" s="45">
        <f t="shared" ref="B15:I15" si="7">B14</f>
        <v>7283.31</v>
      </c>
      <c r="C15" s="45">
        <f t="shared" si="7"/>
        <v>12514.58</v>
      </c>
      <c r="D15" s="45">
        <f t="shared" si="7"/>
        <v>19197.06</v>
      </c>
      <c r="E15" s="45">
        <f t="shared" si="7"/>
        <v>27369.67</v>
      </c>
      <c r="F15" s="45">
        <f t="shared" si="7"/>
        <v>12584.39</v>
      </c>
      <c r="G15" s="45">
        <f t="shared" si="7"/>
        <v>18076.05</v>
      </c>
      <c r="H15" s="45">
        <f t="shared" si="7"/>
        <v>22529.09</v>
      </c>
      <c r="I15" s="45">
        <f t="shared" si="7"/>
        <v>30303.62</v>
      </c>
      <c r="J15" s="45">
        <f>(21014.49+(9594.2/2))</f>
        <v>25811.59</v>
      </c>
      <c r="K15" s="45">
        <f>(27303.7+9594.2)</f>
        <v>36897.9</v>
      </c>
    </row>
    <row r="16">
      <c r="A16" s="42">
        <v>44562.0</v>
      </c>
      <c r="B16" s="45">
        <f t="shared" ref="B16:I16" si="8">B15</f>
        <v>7283.31</v>
      </c>
      <c r="C16" s="45">
        <f t="shared" si="8"/>
        <v>12514.58</v>
      </c>
      <c r="D16" s="45">
        <f t="shared" si="8"/>
        <v>19197.06</v>
      </c>
      <c r="E16" s="45">
        <f t="shared" si="8"/>
        <v>27369.67</v>
      </c>
      <c r="F16" s="45">
        <f t="shared" si="8"/>
        <v>12584.39</v>
      </c>
      <c r="G16" s="45">
        <f t="shared" si="8"/>
        <v>18076.05</v>
      </c>
      <c r="H16" s="45">
        <f t="shared" si="8"/>
        <v>22529.09</v>
      </c>
      <c r="I16" s="45">
        <f t="shared" si="8"/>
        <v>30303.62</v>
      </c>
      <c r="J16" s="45">
        <f>(21014.49+(11826.61/2))</f>
        <v>26927.795</v>
      </c>
      <c r="K16" s="45">
        <f>(27303.7+11826.61)</f>
        <v>39130.31</v>
      </c>
    </row>
    <row r="17">
      <c r="A17" s="42">
        <v>44958.0</v>
      </c>
      <c r="B17" s="45">
        <f t="shared" ref="B17:I17" si="9">B16</f>
        <v>7283.31</v>
      </c>
      <c r="C17" s="45">
        <f t="shared" si="9"/>
        <v>12514.58</v>
      </c>
      <c r="D17" s="45">
        <f t="shared" si="9"/>
        <v>19197.06</v>
      </c>
      <c r="E17" s="45">
        <f t="shared" si="9"/>
        <v>27369.67</v>
      </c>
      <c r="F17" s="45">
        <f t="shared" si="9"/>
        <v>12584.39</v>
      </c>
      <c r="G17" s="45">
        <f t="shared" si="9"/>
        <v>18076.05</v>
      </c>
      <c r="H17" s="45">
        <f t="shared" si="9"/>
        <v>22529.09</v>
      </c>
      <c r="I17" s="45">
        <f t="shared" si="9"/>
        <v>30303.62</v>
      </c>
      <c r="J17" s="45">
        <f>(21014.49+((11991.46-0)/2))</f>
        <v>27010.22</v>
      </c>
      <c r="K17" s="45">
        <f>(27303.7+(11991.46-1.84))</f>
        <v>39293.32</v>
      </c>
    </row>
    <row r="18">
      <c r="A18" s="42">
        <v>45017.0</v>
      </c>
      <c r="B18" s="45">
        <f t="shared" ref="B18:I18" si="10">B17</f>
        <v>7283.31</v>
      </c>
      <c r="C18" s="45">
        <f t="shared" si="10"/>
        <v>12514.58</v>
      </c>
      <c r="D18" s="45">
        <f t="shared" si="10"/>
        <v>19197.06</v>
      </c>
      <c r="E18" s="45">
        <f t="shared" si="10"/>
        <v>27369.67</v>
      </c>
      <c r="F18" s="45">
        <f t="shared" si="10"/>
        <v>12584.39</v>
      </c>
      <c r="G18" s="45">
        <f t="shared" si="10"/>
        <v>18076.05</v>
      </c>
      <c r="H18" s="45">
        <f t="shared" si="10"/>
        <v>22529.09</v>
      </c>
      <c r="I18" s="45">
        <f t="shared" si="10"/>
        <v>30303.62</v>
      </c>
      <c r="J18" s="45">
        <f>(21014.49+(14098.83/2))</f>
        <v>28063.905</v>
      </c>
      <c r="K18" s="45">
        <f>(27303.7+14098.83)</f>
        <v>41402.53</v>
      </c>
    </row>
    <row r="19">
      <c r="A19" s="42">
        <v>45047.0</v>
      </c>
      <c r="B19" s="45">
        <f>7283.31*1.09</f>
        <v>7938.8079</v>
      </c>
      <c r="C19" s="45">
        <f>12514.58*1.09</f>
        <v>13640.8922</v>
      </c>
      <c r="D19" s="45">
        <f>19197.06*1.09</f>
        <v>20924.7954</v>
      </c>
      <c r="E19" s="45">
        <f>27369.67*1.09</f>
        <v>29832.9403</v>
      </c>
      <c r="F19" s="45">
        <f>((11684.39*1.09)+(1800/2))</f>
        <v>13635.9851</v>
      </c>
      <c r="G19" s="45">
        <f>((16276.05*1.09)+1800)</f>
        <v>19540.8945</v>
      </c>
      <c r="H19" s="45">
        <f>((21029.09*1.09)+(3000/2))</f>
        <v>24421.7081</v>
      </c>
      <c r="I19" s="45">
        <f>((27303.62*1.09)+3000)</f>
        <v>32760.9458</v>
      </c>
      <c r="J19" s="45">
        <f>((21014.49*1.09)+((12064.89-0)/2))</f>
        <v>28938.2391</v>
      </c>
      <c r="K19" s="45">
        <f>((27303.7*1.09)+(12064.89-175))</f>
        <v>41650.923</v>
      </c>
    </row>
    <row r="20">
      <c r="A20" s="42">
        <v>45323.0</v>
      </c>
      <c r="B20" s="45">
        <f>7938.81</f>
        <v>7938.81</v>
      </c>
      <c r="C20" s="45">
        <f>13640.89</f>
        <v>13640.89</v>
      </c>
      <c r="D20" s="43">
        <v>20924.8</v>
      </c>
      <c r="E20" s="45">
        <v>29832.94</v>
      </c>
      <c r="F20" s="45">
        <f>12735.99+(2700/2)</f>
        <v>14085.99</v>
      </c>
      <c r="G20" s="45">
        <f>17740.89+2700</f>
        <v>20440.89</v>
      </c>
      <c r="H20" s="45">
        <f>(22921.71+(4500/2))</f>
        <v>25171.71</v>
      </c>
      <c r="I20" s="45">
        <f>(29760.95+4500)</f>
        <v>34260.95</v>
      </c>
      <c r="J20" s="45">
        <f>(22905.79+(14247.49/2))</f>
        <v>30029.535</v>
      </c>
      <c r="K20" s="45">
        <f>(29761.03+14247.49)</f>
        <v>44008.52</v>
      </c>
    </row>
    <row r="21">
      <c r="A21" s="42">
        <v>45505.0</v>
      </c>
      <c r="B21" s="45">
        <f t="shared" ref="B21:E21" si="11">B20</f>
        <v>7938.81</v>
      </c>
      <c r="C21" s="45">
        <f t="shared" si="11"/>
        <v>13640.89</v>
      </c>
      <c r="D21" s="45">
        <f t="shared" si="11"/>
        <v>20924.8</v>
      </c>
      <c r="E21" s="45">
        <f t="shared" si="11"/>
        <v>29832.94</v>
      </c>
      <c r="F21" s="45">
        <f>12735.99+(3000/2)</f>
        <v>14235.99</v>
      </c>
      <c r="G21" s="45">
        <f>17740.89+3000</f>
        <v>20740.89</v>
      </c>
      <c r="H21" s="45">
        <f>(22921.71+(5000/2))</f>
        <v>25421.71</v>
      </c>
      <c r="I21" s="45">
        <f>(29760.95+5000)</f>
        <v>34760.95</v>
      </c>
      <c r="J21" s="45">
        <f t="shared" ref="J21:K21" si="12">J20</f>
        <v>30029.535</v>
      </c>
      <c r="K21" s="45">
        <f t="shared" si="12"/>
        <v>44008.52</v>
      </c>
    </row>
    <row r="22">
      <c r="A22" s="46">
        <v>45658.0</v>
      </c>
      <c r="B22" s="43">
        <v>7453.62</v>
      </c>
      <c r="C22" s="43">
        <v>15189.85</v>
      </c>
      <c r="D22" s="43">
        <v>18033.52</v>
      </c>
      <c r="E22" s="43">
        <v>33086.1</v>
      </c>
      <c r="F22" s="45">
        <f t="shared" ref="F22:K22" si="13">F21</f>
        <v>14235.99</v>
      </c>
      <c r="G22" s="45">
        <f t="shared" si="13"/>
        <v>20740.89</v>
      </c>
      <c r="H22" s="45">
        <f t="shared" si="13"/>
        <v>25421.71</v>
      </c>
      <c r="I22" s="45">
        <f t="shared" si="13"/>
        <v>34760.95</v>
      </c>
      <c r="J22" s="45">
        <f t="shared" si="13"/>
        <v>30029.535</v>
      </c>
      <c r="K22" s="45">
        <f t="shared" si="13"/>
        <v>44008.52</v>
      </c>
    </row>
    <row r="23">
      <c r="A23" s="42">
        <v>45689.0</v>
      </c>
      <c r="B23" s="45">
        <f t="shared" ref="B23:E23" si="14">B22</f>
        <v>7453.62</v>
      </c>
      <c r="C23" s="45">
        <f t="shared" si="14"/>
        <v>15189.85</v>
      </c>
      <c r="D23" s="45">
        <f t="shared" si="14"/>
        <v>18033.52</v>
      </c>
      <c r="E23" s="45">
        <f t="shared" si="14"/>
        <v>33086.1</v>
      </c>
      <c r="F23" s="45">
        <f>12735.99+(4200/2)</f>
        <v>14835.99</v>
      </c>
      <c r="G23" s="45">
        <f>17740.89+4200</f>
        <v>21940.89</v>
      </c>
      <c r="H23" s="45">
        <f>(22921.71+(7000/2))</f>
        <v>26421.71</v>
      </c>
      <c r="I23" s="45">
        <f>(29760.95+7000)</f>
        <v>36760.95</v>
      </c>
      <c r="J23" s="45">
        <f>(22905.79+(16605.16/2))</f>
        <v>31208.37</v>
      </c>
      <c r="K23" s="45">
        <f>(29761.03+16605.16)</f>
        <v>46366.19</v>
      </c>
    </row>
    <row r="24">
      <c r="A24" s="42">
        <v>46054.0</v>
      </c>
      <c r="B24" s="43">
        <f t="shared" ref="B24:E24" si="15">B23</f>
        <v>7453.62</v>
      </c>
      <c r="C24" s="43">
        <f t="shared" si="15"/>
        <v>15189.85</v>
      </c>
      <c r="D24" s="43">
        <f t="shared" si="15"/>
        <v>18033.52</v>
      </c>
      <c r="E24" s="43">
        <f t="shared" si="15"/>
        <v>33086.1</v>
      </c>
      <c r="F24" s="45">
        <f>12735.99+(6900/2)</f>
        <v>16185.99</v>
      </c>
      <c r="G24" s="45">
        <f>17740.89+6900</f>
        <v>24640.89</v>
      </c>
      <c r="H24" s="45">
        <f>(22921.71+(11500/2))</f>
        <v>28671.71</v>
      </c>
      <c r="I24" s="45">
        <f>(29760.95+11500)</f>
        <v>41260.95</v>
      </c>
      <c r="J24" s="45">
        <f t="shared" ref="J24:K24" si="16">J23</f>
        <v>31208.37</v>
      </c>
      <c r="K24" s="45">
        <f t="shared" si="16"/>
        <v>46366.19</v>
      </c>
    </row>
    <row r="25">
      <c r="A25" s="46">
        <v>46113.0</v>
      </c>
      <c r="B25" s="45">
        <f>8300</f>
        <v>8300</v>
      </c>
      <c r="C25" s="43">
        <v>16914.7</v>
      </c>
      <c r="D25" s="43">
        <v>20000.0</v>
      </c>
      <c r="E25" s="43">
        <v>36694.0</v>
      </c>
      <c r="F25" s="45">
        <f t="shared" ref="F25:K25" si="17">F24</f>
        <v>16185.99</v>
      </c>
      <c r="G25" s="45">
        <f t="shared" si="17"/>
        <v>24640.89</v>
      </c>
      <c r="H25" s="45">
        <f t="shared" si="17"/>
        <v>28671.71</v>
      </c>
      <c r="I25" s="45">
        <f t="shared" si="17"/>
        <v>41260.95</v>
      </c>
      <c r="J25" s="45">
        <f t="shared" si="17"/>
        <v>31208.37</v>
      </c>
      <c r="K25" s="45">
        <f t="shared" si="17"/>
        <v>46366.19</v>
      </c>
    </row>
    <row r="26">
      <c r="A26" s="42">
        <v>46419.0</v>
      </c>
      <c r="B26" s="45">
        <f t="shared" ref="B26:E26" si="18">B25</f>
        <v>8300</v>
      </c>
      <c r="C26" s="45">
        <f t="shared" si="18"/>
        <v>16914.7</v>
      </c>
      <c r="D26" s="45">
        <f t="shared" si="18"/>
        <v>20000</v>
      </c>
      <c r="E26" s="45">
        <f t="shared" si="18"/>
        <v>36694</v>
      </c>
      <c r="F26" s="45">
        <f>(12735.99+((6900*1.035)/2))</f>
        <v>16306.74</v>
      </c>
      <c r="G26" s="45">
        <f>(17740.89+(6900*1.035))</f>
        <v>24882.39</v>
      </c>
      <c r="H26" s="45">
        <f>(22921.71+((11500*1.035)/2))</f>
        <v>28872.96</v>
      </c>
      <c r="I26" s="45">
        <f>(29760.95+(11500*1.035))</f>
        <v>41663.45</v>
      </c>
      <c r="J26" s="45">
        <f t="shared" ref="J26:K26" si="19">J25</f>
        <v>31208.37</v>
      </c>
      <c r="K26" s="45">
        <f t="shared" si="19"/>
        <v>46366.19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15" width="11.75"/>
    <col customWidth="1" min="16" max="27" width="12.0"/>
    <col customWidth="1" min="28" max="28" width="5.0"/>
    <col customWidth="1" min="29" max="29" width="18.38"/>
    <col customWidth="1" min="30" max="30" width="5.75"/>
    <col customWidth="1" min="31" max="31" width="7.5"/>
    <col customWidth="1" min="32" max="32" width="5.0"/>
    <col customWidth="1" min="33" max="33" width="17.88"/>
    <col customWidth="1" min="34" max="34" width="6.63"/>
    <col customWidth="1" min="35" max="35" width="8.38"/>
    <col customWidth="1" min="36" max="36" width="7.5"/>
  </cols>
  <sheetData>
    <row r="1">
      <c r="A1" s="32" t="s">
        <v>9</v>
      </c>
      <c r="B1" s="33" t="s">
        <v>39</v>
      </c>
      <c r="C1" s="33" t="s">
        <v>40</v>
      </c>
      <c r="D1" s="33" t="s">
        <v>41</v>
      </c>
      <c r="E1" s="33" t="s">
        <v>42</v>
      </c>
      <c r="F1" s="33" t="s">
        <v>43</v>
      </c>
      <c r="G1" s="33" t="s">
        <v>44</v>
      </c>
      <c r="H1" s="33" t="s">
        <v>45</v>
      </c>
      <c r="I1" s="33" t="s">
        <v>46</v>
      </c>
      <c r="J1" s="33" t="s">
        <v>47</v>
      </c>
      <c r="K1" s="33" t="s">
        <v>48</v>
      </c>
      <c r="L1" s="33" t="s">
        <v>49</v>
      </c>
      <c r="M1" s="33" t="s">
        <v>50</v>
      </c>
      <c r="N1" s="33" t="s">
        <v>51</v>
      </c>
      <c r="O1" s="33" t="s">
        <v>52</v>
      </c>
      <c r="P1" s="33" t="s">
        <v>53</v>
      </c>
      <c r="Q1" s="33" t="s">
        <v>54</v>
      </c>
      <c r="R1" s="33" t="s">
        <v>55</v>
      </c>
      <c r="S1" s="33" t="s">
        <v>56</v>
      </c>
      <c r="T1" s="33" t="s">
        <v>57</v>
      </c>
      <c r="U1" s="33" t="s">
        <v>58</v>
      </c>
      <c r="V1" s="33" t="s">
        <v>59</v>
      </c>
      <c r="W1" s="33" t="s">
        <v>60</v>
      </c>
      <c r="X1" s="33" t="s">
        <v>61</v>
      </c>
      <c r="Y1" s="33" t="s">
        <v>62</v>
      </c>
      <c r="Z1" s="33" t="s">
        <v>63</v>
      </c>
      <c r="AA1" s="33" t="s">
        <v>64</v>
      </c>
      <c r="AJ1" s="47"/>
    </row>
    <row r="2">
      <c r="A2" s="34">
        <v>42370.0</v>
      </c>
      <c r="B2" s="48">
        <v>33763.0</v>
      </c>
      <c r="C2" s="48">
        <f t="shared" ref="C2:C27" si="2">P2+Q2</f>
        <v>22516.94</v>
      </c>
      <c r="D2" s="48">
        <v>22805.0</v>
      </c>
      <c r="E2" s="48">
        <f t="shared" ref="E2:E27" si="3">R2+S2</f>
        <v>22516.88</v>
      </c>
      <c r="F2" s="48">
        <f t="shared" ref="F2:F27" si="4">T2+U2</f>
        <v>13422.61</v>
      </c>
      <c r="G2" s="48">
        <v>21391.1</v>
      </c>
      <c r="H2" s="48">
        <v>9780.92</v>
      </c>
      <c r="I2" s="48">
        <f t="shared" ref="I2:I10" si="5">((B2-ROUND(B2*$AD$3,2))*(100%-$AH$7))+$AJ$7</f>
        <v>22654.93575</v>
      </c>
      <c r="J2" s="48">
        <f t="shared" ref="J2:J27" si="6">V2+ROUND((W2/13.33333)*13,2)</f>
        <v>15398.418</v>
      </c>
      <c r="K2" s="48">
        <f t="shared" ref="K2:K10" si="7">((D2-ROUND(D2*$AD$3,2))*(100%-$AH$7))+$AJ$7</f>
        <v>15584.28625</v>
      </c>
      <c r="L2" s="48">
        <f t="shared" ref="L2:L27" si="8">X2+ROUND((Y2/13.33333)*12,2)</f>
        <v>15398.3745</v>
      </c>
      <c r="M2" s="48">
        <f t="shared" ref="M2:M27" si="9">Z2+ROUND((AA2/13.33333)*12,2)</f>
        <v>9530.297</v>
      </c>
      <c r="N2" s="48">
        <f t="shared" ref="N2:O2" si="1">((G2-ROUND(G2*$AD$3,2))*(100%-$AH$7))+$AJ$7</f>
        <v>14671.968</v>
      </c>
      <c r="O2" s="48">
        <f t="shared" si="1"/>
        <v>7180.4995</v>
      </c>
      <c r="P2" s="48">
        <v>22516.94</v>
      </c>
      <c r="Q2" s="48">
        <v>0.0</v>
      </c>
      <c r="R2" s="48">
        <v>22516.88</v>
      </c>
      <c r="S2" s="48">
        <v>0.0</v>
      </c>
      <c r="T2" s="48">
        <v>13422.61</v>
      </c>
      <c r="U2" s="48">
        <f t="shared" ref="U2:U27" si="11">S2*60%</f>
        <v>0</v>
      </c>
      <c r="V2" s="48">
        <f t="shared" ref="V2:V10" si="12">((P2-ROUND(P2*$AD$3,2))*(100%-$AH$7))+$AJ$7</f>
        <v>15398.418</v>
      </c>
      <c r="W2" s="48">
        <f t="shared" ref="W2:W16" si="13">Q2*(100%-$AH$7)</f>
        <v>0</v>
      </c>
      <c r="X2" s="48">
        <f t="shared" ref="X2:X10" si="14">((R2-ROUND(R2*$AD$3,2))*(100%-$AH$7))+$AJ$7</f>
        <v>15398.3745</v>
      </c>
      <c r="Y2" s="48">
        <f t="shared" ref="Y2:Y16" si="15">S2*(100%-$AH$7)</f>
        <v>0</v>
      </c>
      <c r="Z2" s="48">
        <f t="shared" ref="Z2:Z10" si="16">((T2-ROUND(T2*$AD$3,2))*(100%-$AH$7))+$AJ$7</f>
        <v>9530.297</v>
      </c>
      <c r="AA2" s="48">
        <f t="shared" ref="AA2:AA16" si="17">U2*(100%-$AH$7)</f>
        <v>0</v>
      </c>
      <c r="AC2" s="49" t="s">
        <v>65</v>
      </c>
      <c r="AG2" s="50" t="s">
        <v>66</v>
      </c>
      <c r="AJ2" s="47"/>
    </row>
    <row r="3">
      <c r="A3" s="34">
        <v>42583.0</v>
      </c>
      <c r="B3" s="48">
        <f t="shared" ref="B3:B7" si="18">B2</f>
        <v>33763</v>
      </c>
      <c r="C3" s="48">
        <f t="shared" si="2"/>
        <v>26755.37</v>
      </c>
      <c r="D3" s="48">
        <f t="shared" ref="D3:D5" si="19">D2</f>
        <v>22805</v>
      </c>
      <c r="E3" s="48">
        <f t="shared" si="3"/>
        <v>22516.88</v>
      </c>
      <c r="F3" s="48">
        <f t="shared" si="4"/>
        <v>13422.61</v>
      </c>
      <c r="G3" s="48">
        <v>22567.61</v>
      </c>
      <c r="H3" s="48">
        <v>10318.87</v>
      </c>
      <c r="I3" s="48">
        <f t="shared" si="5"/>
        <v>22654.93575</v>
      </c>
      <c r="J3" s="48">
        <f t="shared" si="6"/>
        <v>18318.143</v>
      </c>
      <c r="K3" s="48">
        <f t="shared" si="7"/>
        <v>15584.28625</v>
      </c>
      <c r="L3" s="48">
        <f t="shared" si="8"/>
        <v>15398.3745</v>
      </c>
      <c r="M3" s="48">
        <f t="shared" si="9"/>
        <v>9530.297</v>
      </c>
      <c r="N3" s="48">
        <f t="shared" ref="N3:O3" si="10">((G3-ROUND(G3*$AD$3,2))*(100%-$AH$7))+$AJ$7</f>
        <v>15431.10825</v>
      </c>
      <c r="O3" s="48">
        <f t="shared" si="10"/>
        <v>7527.60775</v>
      </c>
      <c r="P3" s="48">
        <v>23755.37</v>
      </c>
      <c r="Q3" s="48">
        <v>3000.0</v>
      </c>
      <c r="R3" s="48">
        <f>R2</f>
        <v>22516.88</v>
      </c>
      <c r="S3" s="48">
        <v>0.0</v>
      </c>
      <c r="T3" s="48">
        <f t="shared" ref="T3:T4" si="23">T2</f>
        <v>13422.61</v>
      </c>
      <c r="U3" s="48">
        <f t="shared" si="11"/>
        <v>0</v>
      </c>
      <c r="V3" s="48">
        <f t="shared" si="12"/>
        <v>16197.513</v>
      </c>
      <c r="W3" s="48">
        <f t="shared" si="13"/>
        <v>2175</v>
      </c>
      <c r="X3" s="48">
        <f t="shared" si="14"/>
        <v>15398.3745</v>
      </c>
      <c r="Y3" s="48">
        <f t="shared" si="15"/>
        <v>0</v>
      </c>
      <c r="Z3" s="48">
        <f t="shared" si="16"/>
        <v>9530.297</v>
      </c>
      <c r="AA3" s="48">
        <f t="shared" si="17"/>
        <v>0</v>
      </c>
      <c r="AC3" s="51">
        <v>27369.67</v>
      </c>
      <c r="AD3" s="52">
        <v>0.11</v>
      </c>
      <c r="AE3" s="51">
        <f>ROUND(AC3*AD3,2)</f>
        <v>3010.66</v>
      </c>
      <c r="AG3" s="51">
        <v>1903.98</v>
      </c>
      <c r="AH3" s="53">
        <v>0.0</v>
      </c>
      <c r="AI3" s="51">
        <f>AG3*AH3</f>
        <v>0</v>
      </c>
      <c r="AJ3" s="51">
        <v>0.0</v>
      </c>
    </row>
    <row r="4">
      <c r="A4" s="34">
        <v>42614.0</v>
      </c>
      <c r="B4" s="48">
        <f t="shared" si="18"/>
        <v>33763</v>
      </c>
      <c r="C4" s="48">
        <f t="shared" si="2"/>
        <v>26755.37</v>
      </c>
      <c r="D4" s="48">
        <f t="shared" si="19"/>
        <v>22805</v>
      </c>
      <c r="E4" s="48">
        <f t="shared" si="3"/>
        <v>25516.88</v>
      </c>
      <c r="F4" s="48">
        <f t="shared" si="4"/>
        <v>15222.61</v>
      </c>
      <c r="G4" s="48">
        <f t="shared" ref="G4:H4" si="20">G3</f>
        <v>22567.61</v>
      </c>
      <c r="H4" s="48">
        <f t="shared" si="20"/>
        <v>10318.87</v>
      </c>
      <c r="I4" s="48">
        <f t="shared" si="5"/>
        <v>22654.93575</v>
      </c>
      <c r="J4" s="48">
        <f t="shared" si="6"/>
        <v>18318.143</v>
      </c>
      <c r="K4" s="48">
        <f t="shared" si="7"/>
        <v>15584.28625</v>
      </c>
      <c r="L4" s="48">
        <f t="shared" si="8"/>
        <v>17355.8745</v>
      </c>
      <c r="M4" s="48">
        <f t="shared" si="9"/>
        <v>10704.797</v>
      </c>
      <c r="N4" s="48">
        <f t="shared" ref="N4:O4" si="21">((G4-ROUND(G4*$AD$3,2))*(100%-$AH$7))+$AJ$7</f>
        <v>15431.10825</v>
      </c>
      <c r="O4" s="48">
        <f t="shared" si="21"/>
        <v>7527.60775</v>
      </c>
      <c r="P4" s="48">
        <f t="shared" ref="P4:R4" si="22">P3</f>
        <v>23755.37</v>
      </c>
      <c r="Q4" s="48">
        <f t="shared" si="22"/>
        <v>3000</v>
      </c>
      <c r="R4" s="48">
        <f t="shared" si="22"/>
        <v>22516.88</v>
      </c>
      <c r="S4" s="48">
        <v>3000.0</v>
      </c>
      <c r="T4" s="48">
        <f t="shared" si="23"/>
        <v>13422.61</v>
      </c>
      <c r="U4" s="48">
        <f t="shared" si="11"/>
        <v>1800</v>
      </c>
      <c r="V4" s="48">
        <f t="shared" si="12"/>
        <v>16197.513</v>
      </c>
      <c r="W4" s="48">
        <f t="shared" si="13"/>
        <v>2175</v>
      </c>
      <c r="X4" s="48">
        <f t="shared" si="14"/>
        <v>15398.3745</v>
      </c>
      <c r="Y4" s="48">
        <f t="shared" si="15"/>
        <v>2175</v>
      </c>
      <c r="Z4" s="48">
        <f t="shared" si="16"/>
        <v>9530.297</v>
      </c>
      <c r="AA4" s="48">
        <f t="shared" si="17"/>
        <v>1305</v>
      </c>
      <c r="AG4" s="51">
        <v>2826.65</v>
      </c>
      <c r="AH4" s="53">
        <v>0.075</v>
      </c>
      <c r="AI4" s="51">
        <f t="shared" ref="AI4:AI7" si="27">ROUND((AG4-AG3)*AH4,2)</f>
        <v>69.2</v>
      </c>
      <c r="AJ4" s="51">
        <v>142.8</v>
      </c>
    </row>
    <row r="5">
      <c r="A5" s="34">
        <v>42734.0</v>
      </c>
      <c r="B5" s="48">
        <f t="shared" si="18"/>
        <v>33763</v>
      </c>
      <c r="C5" s="48">
        <f t="shared" si="2"/>
        <v>26755.37</v>
      </c>
      <c r="D5" s="48">
        <f t="shared" si="19"/>
        <v>22805</v>
      </c>
      <c r="E5" s="48">
        <f t="shared" si="3"/>
        <v>26755.31</v>
      </c>
      <c r="F5" s="48">
        <f t="shared" si="4"/>
        <v>15960.85</v>
      </c>
      <c r="G5" s="48">
        <f t="shared" ref="G5:H5" si="24">G4</f>
        <v>22567.61</v>
      </c>
      <c r="H5" s="48">
        <f t="shared" si="24"/>
        <v>10318.87</v>
      </c>
      <c r="I5" s="48">
        <f t="shared" si="5"/>
        <v>22654.93575</v>
      </c>
      <c r="J5" s="48">
        <f t="shared" si="6"/>
        <v>18318.143</v>
      </c>
      <c r="K5" s="48">
        <f t="shared" si="7"/>
        <v>15584.28625</v>
      </c>
      <c r="L5" s="48">
        <f t="shared" si="8"/>
        <v>18154.97675</v>
      </c>
      <c r="M5" s="48">
        <f t="shared" si="9"/>
        <v>11181.151</v>
      </c>
      <c r="N5" s="48">
        <f t="shared" ref="N5:O5" si="25">((G5-ROUND(G5*$AD$3,2))*(100%-$AH$7))+$AJ$7</f>
        <v>15431.10825</v>
      </c>
      <c r="O5" s="48">
        <f t="shared" si="25"/>
        <v>7527.60775</v>
      </c>
      <c r="P5" s="48">
        <f t="shared" ref="P5:Q5" si="26">P4</f>
        <v>23755.37</v>
      </c>
      <c r="Q5" s="48">
        <f t="shared" si="26"/>
        <v>3000</v>
      </c>
      <c r="R5" s="48">
        <v>23755.31</v>
      </c>
      <c r="S5" s="48">
        <f t="shared" ref="S5:S7" si="29">S4</f>
        <v>3000</v>
      </c>
      <c r="T5" s="48">
        <v>14160.85</v>
      </c>
      <c r="U5" s="48">
        <f t="shared" si="11"/>
        <v>1800</v>
      </c>
      <c r="V5" s="48">
        <f t="shared" si="12"/>
        <v>16197.513</v>
      </c>
      <c r="W5" s="48">
        <f t="shared" si="13"/>
        <v>2175</v>
      </c>
      <c r="X5" s="48">
        <f t="shared" si="14"/>
        <v>16197.47675</v>
      </c>
      <c r="Y5" s="48">
        <f t="shared" si="15"/>
        <v>2175</v>
      </c>
      <c r="Z5" s="48">
        <f t="shared" si="16"/>
        <v>10006.651</v>
      </c>
      <c r="AA5" s="48">
        <f t="shared" si="17"/>
        <v>1305</v>
      </c>
      <c r="AC5" s="54">
        <f>AE5/AC3</f>
        <v>0.1099998648</v>
      </c>
      <c r="AE5" s="47">
        <f>SUM(AE3)</f>
        <v>3010.66</v>
      </c>
      <c r="AG5" s="51">
        <v>3751.05</v>
      </c>
      <c r="AH5" s="53">
        <v>0.15</v>
      </c>
      <c r="AI5" s="51">
        <f t="shared" si="27"/>
        <v>138.66</v>
      </c>
      <c r="AJ5" s="51">
        <v>354.8</v>
      </c>
    </row>
    <row r="6">
      <c r="A6" s="34">
        <v>42736.0</v>
      </c>
      <c r="B6" s="48">
        <f t="shared" si="18"/>
        <v>33763</v>
      </c>
      <c r="C6" s="48">
        <f t="shared" si="2"/>
        <v>28605.64</v>
      </c>
      <c r="D6" s="48">
        <v>28262.24</v>
      </c>
      <c r="E6" s="48">
        <f t="shared" si="3"/>
        <v>27943.07</v>
      </c>
      <c r="F6" s="48">
        <f t="shared" si="4"/>
        <v>16668.9</v>
      </c>
      <c r="G6" s="48">
        <v>24142.66</v>
      </c>
      <c r="H6" s="48">
        <v>11039.05</v>
      </c>
      <c r="I6" s="48">
        <f t="shared" si="5"/>
        <v>22654.93575</v>
      </c>
      <c r="J6" s="48">
        <f t="shared" si="6"/>
        <v>19552.84775</v>
      </c>
      <c r="K6" s="48">
        <f t="shared" si="7"/>
        <v>19105.56775</v>
      </c>
      <c r="L6" s="48">
        <f t="shared" si="8"/>
        <v>18921.37425</v>
      </c>
      <c r="M6" s="48">
        <f t="shared" si="9"/>
        <v>11638.017</v>
      </c>
      <c r="N6" s="48">
        <f t="shared" ref="N6:O6" si="28">((G6-ROUND(G6*$AD$3,2))*(100%-$AH$7))+$AJ$7</f>
        <v>16447.41325</v>
      </c>
      <c r="O6" s="48">
        <f t="shared" si="28"/>
        <v>7992.30375</v>
      </c>
      <c r="P6" s="48">
        <v>24943.14</v>
      </c>
      <c r="Q6" s="48">
        <v>3662.5</v>
      </c>
      <c r="R6" s="48">
        <v>24943.07</v>
      </c>
      <c r="S6" s="48">
        <f t="shared" si="29"/>
        <v>3000</v>
      </c>
      <c r="T6" s="48">
        <v>14868.9</v>
      </c>
      <c r="U6" s="48">
        <f t="shared" si="11"/>
        <v>1800</v>
      </c>
      <c r="V6" s="48">
        <f t="shared" si="12"/>
        <v>16963.91775</v>
      </c>
      <c r="W6" s="48">
        <f t="shared" si="13"/>
        <v>2655.3125</v>
      </c>
      <c r="X6" s="48">
        <f t="shared" si="14"/>
        <v>16963.87425</v>
      </c>
      <c r="Y6" s="48">
        <f t="shared" si="15"/>
        <v>2175</v>
      </c>
      <c r="Z6" s="48">
        <f t="shared" si="16"/>
        <v>10463.517</v>
      </c>
      <c r="AA6" s="48">
        <f t="shared" si="17"/>
        <v>1305</v>
      </c>
      <c r="AG6" s="51">
        <v>4664.68</v>
      </c>
      <c r="AH6" s="53">
        <v>0.225</v>
      </c>
      <c r="AI6" s="51">
        <f t="shared" si="27"/>
        <v>205.57</v>
      </c>
      <c r="AJ6" s="51">
        <v>636.13</v>
      </c>
    </row>
    <row r="7">
      <c r="A7" s="34">
        <v>43101.0</v>
      </c>
      <c r="B7" s="48">
        <f t="shared" si="18"/>
        <v>33763</v>
      </c>
      <c r="C7" s="48">
        <f t="shared" si="2"/>
        <v>32579.93</v>
      </c>
      <c r="D7" s="48">
        <v>29604.7</v>
      </c>
      <c r="E7" s="48">
        <f t="shared" si="3"/>
        <v>29127.87</v>
      </c>
      <c r="F7" s="48">
        <f t="shared" si="4"/>
        <v>17375.17</v>
      </c>
      <c r="G7" s="48">
        <v>25745.61</v>
      </c>
      <c r="H7" s="48">
        <v>11771.99</v>
      </c>
      <c r="I7" s="48">
        <f t="shared" si="5"/>
        <v>22654.93575</v>
      </c>
      <c r="J7" s="48">
        <f t="shared" si="6"/>
        <v>22289.16575</v>
      </c>
      <c r="K7" s="48">
        <f t="shared" si="7"/>
        <v>19971.7905</v>
      </c>
      <c r="L7" s="48">
        <f t="shared" si="8"/>
        <v>19685.865</v>
      </c>
      <c r="M7" s="48">
        <f t="shared" si="9"/>
        <v>12093.7375</v>
      </c>
      <c r="N7" s="48">
        <f t="shared" ref="N7:O7" si="30">((G7-ROUND(G7*$AD$3,2))*(100%-$AH$7))+$AJ$7</f>
        <v>17481.71275</v>
      </c>
      <c r="O7" s="48">
        <f t="shared" si="30"/>
        <v>8465.23575</v>
      </c>
      <c r="P7" s="48">
        <v>26127.94</v>
      </c>
      <c r="Q7" s="48">
        <v>6451.99</v>
      </c>
      <c r="R7" s="48">
        <v>26127.87</v>
      </c>
      <c r="S7" s="48">
        <f t="shared" si="29"/>
        <v>3000</v>
      </c>
      <c r="T7" s="48">
        <v>15575.17</v>
      </c>
      <c r="U7" s="48">
        <f t="shared" si="11"/>
        <v>1800</v>
      </c>
      <c r="V7" s="48">
        <f t="shared" si="12"/>
        <v>17728.41575</v>
      </c>
      <c r="W7" s="48">
        <f t="shared" si="13"/>
        <v>4677.69275</v>
      </c>
      <c r="X7" s="48">
        <f t="shared" si="14"/>
        <v>17728.365</v>
      </c>
      <c r="Y7" s="48">
        <f t="shared" si="15"/>
        <v>2175</v>
      </c>
      <c r="Z7" s="48">
        <f t="shared" si="16"/>
        <v>10919.2375</v>
      </c>
      <c r="AA7" s="48">
        <f t="shared" si="17"/>
        <v>1305</v>
      </c>
      <c r="AG7" s="51">
        <f>AC3-AE5</f>
        <v>24359.01</v>
      </c>
      <c r="AH7" s="53">
        <v>0.275</v>
      </c>
      <c r="AI7" s="51">
        <f t="shared" si="27"/>
        <v>5415.94</v>
      </c>
      <c r="AJ7" s="51">
        <v>869.36</v>
      </c>
    </row>
    <row r="8">
      <c r="A8" s="34">
        <v>43431.0</v>
      </c>
      <c r="B8" s="48">
        <f>ROUND((33763*1.1638)-0.06,2)</f>
        <v>39293.32</v>
      </c>
      <c r="C8" s="48">
        <f t="shared" si="2"/>
        <v>33161.23</v>
      </c>
      <c r="D8" s="48">
        <f>D7</f>
        <v>29604.7</v>
      </c>
      <c r="E8" s="48">
        <f t="shared" si="3"/>
        <v>29127.87</v>
      </c>
      <c r="F8" s="48">
        <f t="shared" si="4"/>
        <v>17375.17</v>
      </c>
      <c r="G8" s="48">
        <f t="shared" ref="G8:H8" si="31">G7</f>
        <v>25745.61</v>
      </c>
      <c r="H8" s="48">
        <f t="shared" si="31"/>
        <v>11771.99</v>
      </c>
      <c r="I8" s="48">
        <f t="shared" si="5"/>
        <v>26223.37125</v>
      </c>
      <c r="J8" s="48">
        <f t="shared" si="6"/>
        <v>22700.07575</v>
      </c>
      <c r="K8" s="48">
        <f t="shared" si="7"/>
        <v>19971.7905</v>
      </c>
      <c r="L8" s="48">
        <f t="shared" si="8"/>
        <v>19685.865</v>
      </c>
      <c r="M8" s="48">
        <f t="shared" si="9"/>
        <v>12093.7375</v>
      </c>
      <c r="N8" s="48">
        <f t="shared" ref="N8:O8" si="32">((G8-ROUND(G8*$AD$3,2))*(100%-$AH$7))+$AJ$7</f>
        <v>17481.71275</v>
      </c>
      <c r="O8" s="48">
        <f t="shared" si="32"/>
        <v>8465.23575</v>
      </c>
      <c r="P8" s="48">
        <f>P7</f>
        <v>26127.94</v>
      </c>
      <c r="Q8" s="48">
        <v>7033.29</v>
      </c>
      <c r="R8" s="48">
        <f t="shared" ref="R8:T8" si="33">R7</f>
        <v>26127.87</v>
      </c>
      <c r="S8" s="48">
        <f t="shared" si="33"/>
        <v>3000</v>
      </c>
      <c r="T8" s="48">
        <f t="shared" si="33"/>
        <v>15575.17</v>
      </c>
      <c r="U8" s="48">
        <f t="shared" si="11"/>
        <v>1800</v>
      </c>
      <c r="V8" s="48">
        <f t="shared" si="12"/>
        <v>17728.41575</v>
      </c>
      <c r="W8" s="48">
        <f t="shared" si="13"/>
        <v>5099.13525</v>
      </c>
      <c r="X8" s="48">
        <f t="shared" si="14"/>
        <v>17728.365</v>
      </c>
      <c r="Y8" s="48">
        <f t="shared" si="15"/>
        <v>2175</v>
      </c>
      <c r="Z8" s="48">
        <f t="shared" si="16"/>
        <v>10919.2375</v>
      </c>
      <c r="AA8" s="48">
        <f t="shared" si="17"/>
        <v>1305</v>
      </c>
      <c r="AI8" s="47">
        <f>SUM(AI3:AI7)</f>
        <v>5829.37</v>
      </c>
      <c r="AJ8" s="47"/>
    </row>
    <row r="9">
      <c r="A9" s="34">
        <v>43466.0</v>
      </c>
      <c r="B9" s="48">
        <v>39293.32</v>
      </c>
      <c r="C9" s="48">
        <f t="shared" si="2"/>
        <v>34520.05</v>
      </c>
      <c r="D9" s="48">
        <v>30936.91</v>
      </c>
      <c r="E9" s="48">
        <f t="shared" si="3"/>
        <v>30303.62</v>
      </c>
      <c r="F9" s="48">
        <f t="shared" si="4"/>
        <v>18076.05</v>
      </c>
      <c r="G9" s="48">
        <v>27369.67</v>
      </c>
      <c r="H9" s="48">
        <v>12514.58</v>
      </c>
      <c r="I9" s="48">
        <f t="shared" si="5"/>
        <v>26223.37125</v>
      </c>
      <c r="J9" s="48">
        <f t="shared" si="6"/>
        <v>23588.13025</v>
      </c>
      <c r="K9" s="48">
        <f t="shared" si="7"/>
        <v>20831.40125</v>
      </c>
      <c r="L9" s="48">
        <f t="shared" si="8"/>
        <v>20444.5195</v>
      </c>
      <c r="M9" s="48">
        <f t="shared" si="9"/>
        <v>12545.978</v>
      </c>
      <c r="N9" s="48">
        <f t="shared" ref="N9:O9" si="34">((G9-ROUND(G9*$AD$3,2))*(100%-$AH$7))+$AJ$7</f>
        <v>18529.64225</v>
      </c>
      <c r="O9" s="48">
        <f t="shared" si="34"/>
        <v>8944.3955</v>
      </c>
      <c r="P9" s="48">
        <v>27303.7</v>
      </c>
      <c r="Q9" s="48">
        <v>7216.35</v>
      </c>
      <c r="R9" s="48">
        <v>27303.62</v>
      </c>
      <c r="S9" s="48">
        <f>S8</f>
        <v>3000</v>
      </c>
      <c r="T9" s="48">
        <v>16276.05</v>
      </c>
      <c r="U9" s="48">
        <f t="shared" si="11"/>
        <v>1800</v>
      </c>
      <c r="V9" s="48">
        <f t="shared" si="12"/>
        <v>18487.07025</v>
      </c>
      <c r="W9" s="48">
        <f t="shared" si="13"/>
        <v>5231.85375</v>
      </c>
      <c r="X9" s="48">
        <f t="shared" si="14"/>
        <v>18487.0195</v>
      </c>
      <c r="Y9" s="48">
        <f t="shared" si="15"/>
        <v>2175</v>
      </c>
      <c r="Z9" s="48">
        <f t="shared" si="16"/>
        <v>11371.478</v>
      </c>
      <c r="AA9" s="48">
        <f t="shared" si="17"/>
        <v>1305</v>
      </c>
      <c r="AG9" s="47">
        <f>AG7*AH7-AJ7</f>
        <v>5829.36775</v>
      </c>
      <c r="AH9" s="55">
        <f>AG9-AI8</f>
        <v>-0.00225</v>
      </c>
    </row>
    <row r="10">
      <c r="A10" s="34">
        <v>43831.0</v>
      </c>
      <c r="B10" s="48">
        <f t="shared" ref="B10:B14" si="38">B9</f>
        <v>39293.32</v>
      </c>
      <c r="C10" s="48">
        <f t="shared" si="2"/>
        <v>35153.7</v>
      </c>
      <c r="D10" s="48">
        <f t="shared" ref="D10:D16" si="39">D9</f>
        <v>30936.91</v>
      </c>
      <c r="E10" s="48">
        <f t="shared" si="3"/>
        <v>30303.62</v>
      </c>
      <c r="F10" s="48">
        <f t="shared" si="4"/>
        <v>18076.05</v>
      </c>
      <c r="G10" s="48">
        <f t="shared" ref="G10:H10" si="35">G9</f>
        <v>27369.67</v>
      </c>
      <c r="H10" s="48">
        <f t="shared" si="35"/>
        <v>12514.58</v>
      </c>
      <c r="I10" s="48">
        <f t="shared" si="5"/>
        <v>26223.37125</v>
      </c>
      <c r="J10" s="48">
        <f t="shared" si="6"/>
        <v>24036.04025</v>
      </c>
      <c r="K10" s="48">
        <f t="shared" si="7"/>
        <v>20831.40125</v>
      </c>
      <c r="L10" s="48">
        <f t="shared" si="8"/>
        <v>20444.5195</v>
      </c>
      <c r="M10" s="48">
        <f t="shared" si="9"/>
        <v>12545.978</v>
      </c>
      <c r="N10" s="48">
        <f t="shared" ref="N10:O10" si="36">((G10-ROUND(G10*$AD$3,2))*(100%-$AH$7))+$AJ$7</f>
        <v>18529.64225</v>
      </c>
      <c r="O10" s="48">
        <f t="shared" si="36"/>
        <v>8944.3955</v>
      </c>
      <c r="P10" s="48">
        <f t="shared" ref="P10:P16" si="42">P9</f>
        <v>27303.7</v>
      </c>
      <c r="Q10" s="48">
        <v>7850.0</v>
      </c>
      <c r="R10" s="48">
        <f t="shared" ref="R10:T10" si="37">R9</f>
        <v>27303.62</v>
      </c>
      <c r="S10" s="48">
        <f t="shared" si="37"/>
        <v>3000</v>
      </c>
      <c r="T10" s="48">
        <f t="shared" si="37"/>
        <v>16276.05</v>
      </c>
      <c r="U10" s="48">
        <f t="shared" si="11"/>
        <v>1800</v>
      </c>
      <c r="V10" s="48">
        <f t="shared" si="12"/>
        <v>18487.07025</v>
      </c>
      <c r="W10" s="48">
        <f t="shared" si="13"/>
        <v>5691.25</v>
      </c>
      <c r="X10" s="48">
        <f t="shared" si="14"/>
        <v>18487.0195</v>
      </c>
      <c r="Y10" s="48">
        <f t="shared" si="15"/>
        <v>2175</v>
      </c>
      <c r="Z10" s="48">
        <f t="shared" si="16"/>
        <v>11371.478</v>
      </c>
      <c r="AA10" s="48">
        <f t="shared" si="17"/>
        <v>1305</v>
      </c>
      <c r="AG10" s="54">
        <f>AI10/AC3</f>
        <v>0.6770136432</v>
      </c>
      <c r="AH10" s="54">
        <f>AI8/AG7</f>
        <v>0.2393106288</v>
      </c>
      <c r="AI10" s="47">
        <f>AG7-AI8</f>
        <v>18529.64</v>
      </c>
    </row>
    <row r="11">
      <c r="A11" s="34">
        <v>43891.0</v>
      </c>
      <c r="B11" s="48">
        <f t="shared" si="38"/>
        <v>39293.32</v>
      </c>
      <c r="C11" s="48">
        <f t="shared" si="2"/>
        <v>35444.4</v>
      </c>
      <c r="D11" s="48">
        <f t="shared" si="39"/>
        <v>30936.91</v>
      </c>
      <c r="E11" s="48">
        <f t="shared" si="3"/>
        <v>30303.62</v>
      </c>
      <c r="F11" s="48">
        <f t="shared" si="4"/>
        <v>18076.05</v>
      </c>
      <c r="G11" s="48">
        <f t="shared" ref="G11:H11" si="40">G10</f>
        <v>27369.67</v>
      </c>
      <c r="H11" s="48">
        <f t="shared" si="40"/>
        <v>12514.58</v>
      </c>
      <c r="I11" s="48">
        <f>((B11-(ROUND((B11-$AC$18)*$AD$19,2)+SUM($AE$13:$AE$18)))*(100%-$AH$7))+$AJ$7</f>
        <v>24598.99425</v>
      </c>
      <c r="J11" s="48">
        <f t="shared" si="6"/>
        <v>23312.5515</v>
      </c>
      <c r="K11" s="48">
        <f>((D11-(ROUND((D11-$AC$18)*$AD$19,2)+SUM($AE$13:$AE$18)))*(100%-$AH$7))+$AJ$7</f>
        <v>19691.694</v>
      </c>
      <c r="L11" s="48">
        <f t="shared" si="8"/>
        <v>19515.54075</v>
      </c>
      <c r="M11" s="48">
        <f t="shared" si="9"/>
        <v>12256.6015</v>
      </c>
      <c r="N11" s="48">
        <f t="shared" ref="N11:O11" si="41">((G11-(ROUND((G11-$AC$18)*$AD$19,2)+SUM($AE$13:$AE$18)))*(100%-$AH$7))+$AJ$7</f>
        <v>17596.82825</v>
      </c>
      <c r="O11" s="48">
        <f t="shared" si="41"/>
        <v>8873.17875</v>
      </c>
      <c r="P11" s="48">
        <f t="shared" si="42"/>
        <v>27303.7</v>
      </c>
      <c r="Q11" s="48">
        <f>Q10+ROUND((Q12-Q10)/12*2,2)</f>
        <v>8140.7</v>
      </c>
      <c r="R11" s="48">
        <f t="shared" ref="R11:T11" si="43">R10</f>
        <v>27303.62</v>
      </c>
      <c r="S11" s="48">
        <f t="shared" si="43"/>
        <v>3000</v>
      </c>
      <c r="T11" s="48">
        <f t="shared" si="43"/>
        <v>16276.05</v>
      </c>
      <c r="U11" s="48">
        <f t="shared" si="11"/>
        <v>1800</v>
      </c>
      <c r="V11" s="48">
        <f>((P11-(ROUND((P11-$AC$18)*$AD$19,2)+SUM($AE$13:$AE$18)))*(100%-$AH$7))+$AJ$7</f>
        <v>17558.0915</v>
      </c>
      <c r="W11" s="48">
        <f t="shared" si="13"/>
        <v>5902.0075</v>
      </c>
      <c r="X11" s="48">
        <f>((R11-(ROUND((R11-$AC$18)*$AD$19,2)+SUM($AE$13:$AE$18)))*(100%-$AH$7))+$AJ$7</f>
        <v>17558.04075</v>
      </c>
      <c r="Y11" s="48">
        <f t="shared" si="15"/>
        <v>2175</v>
      </c>
      <c r="Z11" s="48">
        <f>((T11-(ROUND((T11-$AC$18)*$AD$19,2)+SUM($AE$13:$AE$18)))*(100%-$AH$7))+$AJ$7</f>
        <v>11082.1015</v>
      </c>
      <c r="AA11" s="48">
        <f t="shared" si="17"/>
        <v>1305</v>
      </c>
    </row>
    <row r="12">
      <c r="A12" s="34">
        <v>44197.0</v>
      </c>
      <c r="B12" s="48">
        <f t="shared" si="38"/>
        <v>39293.32</v>
      </c>
      <c r="C12" s="48">
        <f t="shared" si="2"/>
        <v>36897.9</v>
      </c>
      <c r="D12" s="48">
        <f t="shared" si="39"/>
        <v>30936.91</v>
      </c>
      <c r="E12" s="48">
        <f t="shared" si="3"/>
        <v>30303.62</v>
      </c>
      <c r="F12" s="48">
        <f t="shared" si="4"/>
        <v>18076.05</v>
      </c>
      <c r="G12" s="48">
        <f t="shared" ref="G12:H12" si="44">G11</f>
        <v>27369.67</v>
      </c>
      <c r="H12" s="48">
        <f t="shared" si="44"/>
        <v>12514.58</v>
      </c>
      <c r="I12" s="48">
        <f>((B12-(ROUND((B12-$AC$30)*$AD$31,2)+SUM($AE$25:$AE$30)))*(100%-$AH$7))+$AJ$7</f>
        <v>24634.63525</v>
      </c>
      <c r="J12" s="48">
        <f t="shared" si="6"/>
        <v>24375.62525</v>
      </c>
      <c r="K12" s="48">
        <f>((D12-(ROUND((D12-$AC$30)*$AD$31,2)+SUM($AE$25:$AE$30)))*(100%-$AH$7))+$AJ$7</f>
        <v>19727.32775</v>
      </c>
      <c r="L12" s="48">
        <f t="shared" si="8"/>
        <v>19551.18175</v>
      </c>
      <c r="M12" s="48">
        <f t="shared" si="9"/>
        <v>12292.2425</v>
      </c>
      <c r="N12" s="48">
        <f t="shared" ref="N12:O12" si="45">((G12-(ROUND((G12-$AC$30)*$AD$31,2)+SUM($AE$25:$AE$30)))*(100%-$AH$7))+$AJ$7</f>
        <v>17632.46925</v>
      </c>
      <c r="O12" s="48">
        <f t="shared" si="45"/>
        <v>8908.81975</v>
      </c>
      <c r="P12" s="48">
        <f t="shared" si="42"/>
        <v>27303.7</v>
      </c>
      <c r="Q12" s="48">
        <v>9594.2</v>
      </c>
      <c r="R12" s="48">
        <f t="shared" ref="R12:T12" si="46">R11</f>
        <v>27303.62</v>
      </c>
      <c r="S12" s="48">
        <f t="shared" si="46"/>
        <v>3000</v>
      </c>
      <c r="T12" s="48">
        <f t="shared" si="46"/>
        <v>16276.05</v>
      </c>
      <c r="U12" s="48">
        <f t="shared" si="11"/>
        <v>1800</v>
      </c>
      <c r="V12" s="48">
        <f>((P12-(ROUND((P12-$AC$30)*$AD$31,2)+SUM($AE$25:$AE$30)))*(100%-$AH$7))+$AJ$7</f>
        <v>17593.72525</v>
      </c>
      <c r="W12" s="48">
        <f t="shared" si="13"/>
        <v>6955.795</v>
      </c>
      <c r="X12" s="48">
        <f>((R12-(ROUND((R12-$AC$30)*$AD$31,2)+SUM($AE$25:$AE$30)))*(100%-$AH$7))+$AJ$7</f>
        <v>17593.68175</v>
      </c>
      <c r="Y12" s="48">
        <f t="shared" si="15"/>
        <v>2175</v>
      </c>
      <c r="Z12" s="48">
        <f>((T12-(ROUND((T12-$AC$30)*$AD$31,2)+SUM($AE$25:$AE$30)))*(100%-$AH$7))+$AJ$7</f>
        <v>11117.7425</v>
      </c>
      <c r="AA12" s="48">
        <f t="shared" si="17"/>
        <v>1305</v>
      </c>
      <c r="AC12" s="49" t="s">
        <v>67</v>
      </c>
      <c r="AD12" s="56"/>
      <c r="AE12" s="56"/>
      <c r="AG12" s="50" t="s">
        <v>66</v>
      </c>
      <c r="AJ12" s="47"/>
    </row>
    <row r="13">
      <c r="A13" s="34">
        <v>44562.0</v>
      </c>
      <c r="B13" s="48">
        <f t="shared" si="38"/>
        <v>39293.32</v>
      </c>
      <c r="C13" s="48">
        <f t="shared" si="2"/>
        <v>39130.31</v>
      </c>
      <c r="D13" s="48">
        <f t="shared" si="39"/>
        <v>30936.91</v>
      </c>
      <c r="E13" s="48">
        <f t="shared" si="3"/>
        <v>30303.62</v>
      </c>
      <c r="F13" s="48">
        <f t="shared" si="4"/>
        <v>18076.05</v>
      </c>
      <c r="G13" s="48">
        <f t="shared" ref="G13:H13" si="47">G12</f>
        <v>27369.67</v>
      </c>
      <c r="H13" s="48">
        <f t="shared" si="47"/>
        <v>12514.58</v>
      </c>
      <c r="I13" s="48">
        <f>((B13-(ROUND((B13-$AC$42)*$AD$43,2)+SUM($AE$37:$AE$42)))*(100%-$AH$7))+$AJ$7</f>
        <v>24704.7645</v>
      </c>
      <c r="J13" s="48">
        <f t="shared" si="6"/>
        <v>26023.80175</v>
      </c>
      <c r="K13" s="48">
        <f>((D13-(ROUND((D13-$AC$42)*$AD$43,2)+SUM($AE$37:$AE$42)))*(100%-$AH$7))+$AJ$7</f>
        <v>19797.46425</v>
      </c>
      <c r="L13" s="48">
        <f t="shared" si="8"/>
        <v>19621.311</v>
      </c>
      <c r="M13" s="48">
        <f t="shared" si="9"/>
        <v>12362.37175</v>
      </c>
      <c r="N13" s="48">
        <f t="shared" ref="N13:O13" si="48">((G13-(ROUND((G13-$AC$42)*$AD$43,2)+SUM($AE$37:$AE$42)))*(100%-$AH$7))+$AJ$7</f>
        <v>17702.5985</v>
      </c>
      <c r="O13" s="48">
        <f t="shared" si="48"/>
        <v>8978.949</v>
      </c>
      <c r="P13" s="57">
        <f t="shared" si="42"/>
        <v>27303.7</v>
      </c>
      <c r="Q13" s="48">
        <v>11826.61</v>
      </c>
      <c r="R13" s="48">
        <f t="shared" ref="R13:T13" si="49">R12</f>
        <v>27303.62</v>
      </c>
      <c r="S13" s="48">
        <f t="shared" si="49"/>
        <v>3000</v>
      </c>
      <c r="T13" s="48">
        <f t="shared" si="49"/>
        <v>16276.05</v>
      </c>
      <c r="U13" s="48">
        <f t="shared" si="11"/>
        <v>1800</v>
      </c>
      <c r="V13" s="48">
        <f>((P13-(ROUND((P13-$AC$42)*$AD$43,2)+SUM($AE$37:$AE$42)))*(100%-$AH$7))+$AJ$7</f>
        <v>17663.86175</v>
      </c>
      <c r="W13" s="48">
        <f t="shared" si="13"/>
        <v>8574.29225</v>
      </c>
      <c r="X13" s="48">
        <f>((R13-(ROUND((R13-$AC$42)*$AD$43,2)+SUM($AE$37:$AE$42)))*(100%-$AH$7))+$AJ$7</f>
        <v>17663.811</v>
      </c>
      <c r="Y13" s="48">
        <f t="shared" si="15"/>
        <v>2175</v>
      </c>
      <c r="Z13" s="48">
        <f>((T13-(ROUND((T13-$AC$42)*$AD$43,2)+SUM($AE$37:$AE$42)))*(100%-$AH$7))+$AJ$7</f>
        <v>11187.87175</v>
      </c>
      <c r="AA13" s="48">
        <f t="shared" si="17"/>
        <v>1305</v>
      </c>
      <c r="AC13" s="51">
        <v>1045.0</v>
      </c>
      <c r="AD13" s="52">
        <v>0.075</v>
      </c>
      <c r="AE13" s="51">
        <f>ROUND(AC13*AD13,2)</f>
        <v>78.38</v>
      </c>
      <c r="AG13" s="51">
        <v>1903.98</v>
      </c>
      <c r="AH13" s="53">
        <v>0.0</v>
      </c>
      <c r="AI13" s="51">
        <f>AG13*AH13</f>
        <v>0</v>
      </c>
      <c r="AJ13" s="51">
        <v>0.0</v>
      </c>
    </row>
    <row r="14">
      <c r="A14" s="34">
        <v>44927.0</v>
      </c>
      <c r="B14" s="48">
        <f t="shared" si="38"/>
        <v>39293.32</v>
      </c>
      <c r="C14" s="48">
        <f t="shared" si="2"/>
        <v>39290.95</v>
      </c>
      <c r="D14" s="48">
        <f t="shared" si="39"/>
        <v>30936.91</v>
      </c>
      <c r="E14" s="48">
        <f t="shared" si="3"/>
        <v>30303.62</v>
      </c>
      <c r="F14" s="48">
        <f t="shared" si="4"/>
        <v>18076.05</v>
      </c>
      <c r="G14" s="48">
        <f t="shared" ref="G14:H14" si="50">G13</f>
        <v>27369.67</v>
      </c>
      <c r="H14" s="48">
        <f t="shared" si="50"/>
        <v>12514.58</v>
      </c>
      <c r="I14" s="48">
        <f t="shared" ref="I14:I16" si="54">((B14-(ROUND((B14-$AC$54)*$AD$55,2)+SUM($AE$49:$AE$54)))*(100%-$AH$7))+$AJ$7</f>
        <v>24750.048</v>
      </c>
      <c r="J14" s="48">
        <f t="shared" si="6"/>
        <v>26182.63525</v>
      </c>
      <c r="K14" s="48">
        <f t="shared" ref="K14:K16" si="55">((D14-(ROUND((D14-$AC$54)*$AD$55,2)+SUM($AE$49:$AE$54)))*(100%-$AH$7))+$AJ$7</f>
        <v>19842.74775</v>
      </c>
      <c r="L14" s="48">
        <f t="shared" si="8"/>
        <v>19666.5945</v>
      </c>
      <c r="M14" s="48">
        <f t="shared" si="9"/>
        <v>12407.65525</v>
      </c>
      <c r="N14" s="48">
        <f t="shared" ref="N14:O14" si="51">((G14-(ROUND((G14-$AC$54)*$AD$55,2)+SUM($AE$49:$AE$54)))*(100%-$AH$7))+$AJ$7</f>
        <v>17747.882</v>
      </c>
      <c r="O14" s="48">
        <f t="shared" si="51"/>
        <v>9024.2325</v>
      </c>
      <c r="P14" s="57">
        <f t="shared" si="42"/>
        <v>27303.7</v>
      </c>
      <c r="Q14" s="48">
        <v>11987.25</v>
      </c>
      <c r="R14" s="48">
        <f t="shared" ref="R14:T14" si="52">R13</f>
        <v>27303.62</v>
      </c>
      <c r="S14" s="48">
        <f t="shared" si="52"/>
        <v>3000</v>
      </c>
      <c r="T14" s="48">
        <f t="shared" si="52"/>
        <v>16276.05</v>
      </c>
      <c r="U14" s="48">
        <f t="shared" si="11"/>
        <v>1800</v>
      </c>
      <c r="V14" s="48">
        <f t="shared" ref="V14:V16" si="58">((P14-(ROUND((P14-$AC$54)*$AD$55,2)+SUM($AE$49:$AE$54)))*(100%-$AH$7))+$AJ$7</f>
        <v>17709.14525</v>
      </c>
      <c r="W14" s="48">
        <f t="shared" si="13"/>
        <v>8690.75625</v>
      </c>
      <c r="X14" s="48">
        <f t="shared" ref="X14:X16" si="59">((R14-(ROUND((R14-$AC$54)*$AD$55,2)+SUM($AE$49:$AE$54)))*(100%-$AH$7))+$AJ$7</f>
        <v>17709.0945</v>
      </c>
      <c r="Y14" s="48">
        <f t="shared" si="15"/>
        <v>2175</v>
      </c>
      <c r="Z14" s="48">
        <f t="shared" ref="Z14:Z16" si="60">((T14-(ROUND((T14-$AC$54)*$AD$55,2)+SUM($AE$49:$AE$54)))*(100%-$AH$7))+$AJ$7</f>
        <v>11233.15525</v>
      </c>
      <c r="AA14" s="48">
        <f t="shared" si="17"/>
        <v>1305</v>
      </c>
      <c r="AC14" s="51">
        <v>2089.6</v>
      </c>
      <c r="AD14" s="52">
        <v>0.09</v>
      </c>
      <c r="AE14" s="51">
        <f t="shared" ref="AE14:AE19" si="61">ROUND((AC14-AC13)*AD14,2)</f>
        <v>94.01</v>
      </c>
      <c r="AG14" s="51">
        <v>2826.65</v>
      </c>
      <c r="AH14" s="53">
        <v>0.075</v>
      </c>
      <c r="AI14" s="51">
        <f t="shared" ref="AI14:AI17" si="62">ROUND((AG14-AG13)*AH14,2)</f>
        <v>69.2</v>
      </c>
      <c r="AJ14" s="51">
        <v>142.8</v>
      </c>
    </row>
    <row r="15">
      <c r="A15" s="34">
        <v>44958.0</v>
      </c>
      <c r="B15" s="48">
        <v>39293.32</v>
      </c>
      <c r="C15" s="48">
        <f t="shared" si="2"/>
        <v>39293.32</v>
      </c>
      <c r="D15" s="48">
        <f t="shared" si="39"/>
        <v>30936.91</v>
      </c>
      <c r="E15" s="48">
        <f t="shared" si="3"/>
        <v>30303.62</v>
      </c>
      <c r="F15" s="48">
        <f t="shared" si="4"/>
        <v>18076.05</v>
      </c>
      <c r="G15" s="48">
        <f t="shared" ref="G15:H15" si="53">G14</f>
        <v>27369.67</v>
      </c>
      <c r="H15" s="48">
        <f t="shared" si="53"/>
        <v>12514.58</v>
      </c>
      <c r="I15" s="48">
        <f t="shared" si="54"/>
        <v>24750.048</v>
      </c>
      <c r="J15" s="48">
        <f t="shared" si="6"/>
        <v>26184.30525</v>
      </c>
      <c r="K15" s="48">
        <f t="shared" si="55"/>
        <v>19842.74775</v>
      </c>
      <c r="L15" s="48">
        <f t="shared" si="8"/>
        <v>19666.5945</v>
      </c>
      <c r="M15" s="48">
        <f t="shared" si="9"/>
        <v>12407.65525</v>
      </c>
      <c r="N15" s="48">
        <f t="shared" ref="N15:O15" si="56">((G15-(ROUND((G15-$AC$54)*$AD$55,2)+SUM($AE$49:$AE$54)))*(100%-$AH$7))+$AJ$7</f>
        <v>17747.882</v>
      </c>
      <c r="O15" s="48">
        <f t="shared" si="56"/>
        <v>9024.2325</v>
      </c>
      <c r="P15" s="57">
        <f t="shared" si="42"/>
        <v>27303.7</v>
      </c>
      <c r="Q15" s="48">
        <f>11991.46-1.84</f>
        <v>11989.62</v>
      </c>
      <c r="R15" s="48">
        <f t="shared" ref="R15:T15" si="57">R14</f>
        <v>27303.62</v>
      </c>
      <c r="S15" s="48">
        <f t="shared" si="57"/>
        <v>3000</v>
      </c>
      <c r="T15" s="48">
        <f t="shared" si="57"/>
        <v>16276.05</v>
      </c>
      <c r="U15" s="48">
        <f t="shared" si="11"/>
        <v>1800</v>
      </c>
      <c r="V15" s="48">
        <f t="shared" si="58"/>
        <v>17709.14525</v>
      </c>
      <c r="W15" s="48">
        <f t="shared" si="13"/>
        <v>8692.4745</v>
      </c>
      <c r="X15" s="48">
        <f t="shared" si="59"/>
        <v>17709.0945</v>
      </c>
      <c r="Y15" s="48">
        <f t="shared" si="15"/>
        <v>2175</v>
      </c>
      <c r="Z15" s="48">
        <f t="shared" si="60"/>
        <v>11233.15525</v>
      </c>
      <c r="AA15" s="48">
        <f t="shared" si="17"/>
        <v>1305</v>
      </c>
      <c r="AC15" s="51">
        <v>3134.4</v>
      </c>
      <c r="AD15" s="52">
        <v>0.12</v>
      </c>
      <c r="AE15" s="51">
        <f t="shared" si="61"/>
        <v>125.38</v>
      </c>
      <c r="AG15" s="51">
        <v>3751.05</v>
      </c>
      <c r="AH15" s="53">
        <v>0.15</v>
      </c>
      <c r="AI15" s="51">
        <f t="shared" si="62"/>
        <v>138.66</v>
      </c>
      <c r="AJ15" s="51">
        <v>354.8</v>
      </c>
    </row>
    <row r="16">
      <c r="A16" s="34">
        <v>45017.0</v>
      </c>
      <c r="B16" s="48">
        <f>ROUND(39293.32*1.06,2)</f>
        <v>41650.92</v>
      </c>
      <c r="C16" s="48">
        <f t="shared" si="2"/>
        <v>41402.53</v>
      </c>
      <c r="D16" s="48">
        <f t="shared" si="39"/>
        <v>30936.91</v>
      </c>
      <c r="E16" s="48">
        <f t="shared" si="3"/>
        <v>30303.62</v>
      </c>
      <c r="F16" s="48">
        <f t="shared" si="4"/>
        <v>18076.05</v>
      </c>
      <c r="G16" s="48">
        <f t="shared" ref="G16:H16" si="63">G15</f>
        <v>27369.67</v>
      </c>
      <c r="H16" s="48">
        <f t="shared" si="63"/>
        <v>12514.58</v>
      </c>
      <c r="I16" s="48">
        <f t="shared" si="54"/>
        <v>26134.54425</v>
      </c>
      <c r="J16" s="48">
        <f t="shared" si="6"/>
        <v>27675.25525</v>
      </c>
      <c r="K16" s="48">
        <f t="shared" si="55"/>
        <v>19842.74775</v>
      </c>
      <c r="L16" s="48">
        <f t="shared" si="8"/>
        <v>19666.5945</v>
      </c>
      <c r="M16" s="48">
        <f t="shared" si="9"/>
        <v>12407.65525</v>
      </c>
      <c r="N16" s="48">
        <f t="shared" ref="N16:O16" si="64">((G16-(ROUND((G16-$AC$54)*$AD$55,2)+SUM($AE$49:$AE$54)))*(100%-$AH$7))+$AJ$7</f>
        <v>17747.882</v>
      </c>
      <c r="O16" s="48">
        <f t="shared" si="64"/>
        <v>9024.2325</v>
      </c>
      <c r="P16" s="48">
        <f t="shared" si="42"/>
        <v>27303.7</v>
      </c>
      <c r="Q16" s="48">
        <v>14098.83</v>
      </c>
      <c r="R16" s="48">
        <f t="shared" ref="R16:T16" si="65">R15</f>
        <v>27303.62</v>
      </c>
      <c r="S16" s="48">
        <f t="shared" si="65"/>
        <v>3000</v>
      </c>
      <c r="T16" s="48">
        <f t="shared" si="65"/>
        <v>16276.05</v>
      </c>
      <c r="U16" s="48">
        <f t="shared" si="11"/>
        <v>1800</v>
      </c>
      <c r="V16" s="48">
        <f t="shared" si="58"/>
        <v>17709.14525</v>
      </c>
      <c r="W16" s="48">
        <f t="shared" si="13"/>
        <v>10221.65175</v>
      </c>
      <c r="X16" s="48">
        <f t="shared" si="59"/>
        <v>17709.0945</v>
      </c>
      <c r="Y16" s="48">
        <f t="shared" si="15"/>
        <v>2175</v>
      </c>
      <c r="Z16" s="48">
        <f t="shared" si="60"/>
        <v>11233.15525</v>
      </c>
      <c r="AA16" s="48">
        <f t="shared" si="17"/>
        <v>1305</v>
      </c>
      <c r="AC16" s="51">
        <v>6106.06</v>
      </c>
      <c r="AD16" s="52">
        <v>0.14</v>
      </c>
      <c r="AE16" s="51">
        <f t="shared" si="61"/>
        <v>416.03</v>
      </c>
      <c r="AG16" s="51">
        <v>4664.68</v>
      </c>
      <c r="AH16" s="53">
        <v>0.225</v>
      </c>
      <c r="AI16" s="51">
        <f t="shared" si="62"/>
        <v>205.57</v>
      </c>
      <c r="AJ16" s="51">
        <v>636.13</v>
      </c>
    </row>
    <row r="17">
      <c r="A17" s="34">
        <v>45047.0</v>
      </c>
      <c r="B17" s="48">
        <v>41650.92</v>
      </c>
      <c r="C17" s="48">
        <f t="shared" si="2"/>
        <v>41650.92</v>
      </c>
      <c r="D17" s="48">
        <f>ROUND(30936.91*1.09,2)</f>
        <v>33721.23</v>
      </c>
      <c r="E17" s="48">
        <f t="shared" si="3"/>
        <v>32760.95</v>
      </c>
      <c r="F17" s="48">
        <f t="shared" si="4"/>
        <v>19540.89</v>
      </c>
      <c r="G17" s="48">
        <f>ROUND(27369.67*1.09,2)</f>
        <v>29832.94</v>
      </c>
      <c r="H17" s="48">
        <f>ROUND(12514.58*1.09,2)</f>
        <v>13640.89</v>
      </c>
      <c r="I17" s="48">
        <f>((B17-(ROUND((B17-$AC$66)*$AD$67,2)+SUM($AE$61:$AE$66)))*(100%-$AH$65))+$AJ$65</f>
        <v>26150.34</v>
      </c>
      <c r="J17" s="48">
        <f t="shared" si="6"/>
        <v>27572.67275</v>
      </c>
      <c r="K17" s="48">
        <f>((D17-(ROUND((D17-$AC$66)*$AD$67,2)+SUM($AE$61:$AE$66)))*(100%-$AH$65))+$AJ$65</f>
        <v>21493.62875</v>
      </c>
      <c r="L17" s="48">
        <f t="shared" si="8"/>
        <v>21125.45925</v>
      </c>
      <c r="M17" s="48">
        <f t="shared" si="9"/>
        <v>13283.678</v>
      </c>
      <c r="N17" s="48">
        <f t="shared" ref="N17:O17" si="66">((G17-(ROUND((G17-$AC$66)*$AD$67,2)+SUM($AE$61:$AE$66)))*(100%-$AH$65))+$AJ$65</f>
        <v>19210.234</v>
      </c>
      <c r="O17" s="48">
        <f t="shared" si="66"/>
        <v>9701.453</v>
      </c>
      <c r="P17" s="48">
        <f>ROUND(27303.7*1.09,2)</f>
        <v>29761.03</v>
      </c>
      <c r="Q17" s="48">
        <f>12064.89-175</f>
        <v>11889.89</v>
      </c>
      <c r="R17" s="48">
        <f>ROUND(27303.62*1.09,2)</f>
        <v>29760.95</v>
      </c>
      <c r="S17" s="48">
        <f t="shared" ref="S17:S18" si="68">S16</f>
        <v>3000</v>
      </c>
      <c r="T17" s="48">
        <f>ROUND(16276.05*1.09,2)</f>
        <v>17740.89</v>
      </c>
      <c r="U17" s="48">
        <f t="shared" si="11"/>
        <v>1800</v>
      </c>
      <c r="V17" s="48">
        <f>((P17-(ROUND((P17-$AC$66)*$AD$67,2)+SUM($AE$61:$AE$66)))*(100%-$AH$65))+$AJ$65</f>
        <v>19168.00275</v>
      </c>
      <c r="W17" s="48">
        <f t="shared" ref="W17:W18" si="69">Q17*(100%-$AH$65)</f>
        <v>8620.17025</v>
      </c>
      <c r="X17" s="48">
        <f>((R17-(ROUND((R17-$AC$66)*$AD$67,2)+SUM($AE$61:$AE$66)))*(100%-$AH$65))+$AJ$65</f>
        <v>19167.95925</v>
      </c>
      <c r="Y17" s="48">
        <f t="shared" ref="Y17:Y18" si="70">S17*(100%-$AH$65)</f>
        <v>2175</v>
      </c>
      <c r="Z17" s="48">
        <f>((T17-(ROUND((T17-$AC$66)*$AD$67,2)+SUM($AE$61:$AE$66)))*(100%-$AH$65))+$AJ$65</f>
        <v>12109.178</v>
      </c>
      <c r="AA17" s="48">
        <f t="shared" ref="AA17:AA18" si="71">U17*(100%-$AH$65)</f>
        <v>1305</v>
      </c>
      <c r="AC17" s="51">
        <v>10448.0</v>
      </c>
      <c r="AD17" s="52">
        <v>0.145</v>
      </c>
      <c r="AE17" s="51">
        <f t="shared" si="61"/>
        <v>629.58</v>
      </c>
      <c r="AG17" s="51">
        <f>AC19-AE22</f>
        <v>23072.37</v>
      </c>
      <c r="AH17" s="53">
        <v>0.275</v>
      </c>
      <c r="AI17" s="51">
        <f t="shared" si="62"/>
        <v>5062.11</v>
      </c>
      <c r="AJ17" s="51">
        <v>869.36</v>
      </c>
    </row>
    <row r="18">
      <c r="A18" s="34">
        <v>45292.0</v>
      </c>
      <c r="B18" s="48">
        <f>B17</f>
        <v>41650.92</v>
      </c>
      <c r="C18" s="48">
        <f t="shared" si="2"/>
        <v>41650.92</v>
      </c>
      <c r="D18" s="48">
        <v>33721.23</v>
      </c>
      <c r="E18" s="48">
        <f t="shared" si="3"/>
        <v>32760.95</v>
      </c>
      <c r="F18" s="48">
        <f t="shared" si="4"/>
        <v>19540.89</v>
      </c>
      <c r="G18" s="48">
        <v>29832.94</v>
      </c>
      <c r="H18" s="48">
        <v>13640.89</v>
      </c>
      <c r="I18" s="48">
        <f>((B18-(ROUND((B18-$AC$78)*$AD$79,2)+SUM($AE$73:$AE$78)))*(100%-$AH$65))+$AJ$65</f>
        <v>26180.732</v>
      </c>
      <c r="J18" s="48">
        <f t="shared" si="6"/>
        <v>27603.06475</v>
      </c>
      <c r="K18" s="48">
        <f>((D18-(ROUND((D18-$AC$78)*$AD$79,2)+SUM($AE$73:$AE$78)))*(100%-$AH$65))+$AJ$65</f>
        <v>21524.02075</v>
      </c>
      <c r="L18" s="48">
        <f t="shared" si="8"/>
        <v>21155.85125</v>
      </c>
      <c r="M18" s="48">
        <f t="shared" si="9"/>
        <v>13314.07</v>
      </c>
      <c r="N18" s="48">
        <f t="shared" ref="N18:O18" si="67">((G18-(ROUND((G18-$AC$78)*$AD$79,2)+SUM($AE$73:$AE$78)))*(100%-$AH$65))+$AJ$65</f>
        <v>19240.626</v>
      </c>
      <c r="O18" s="48">
        <f t="shared" si="67"/>
        <v>9731.845</v>
      </c>
      <c r="P18" s="48">
        <v>29761.03</v>
      </c>
      <c r="Q18" s="48">
        <f>14283.83-2393.94</f>
        <v>11889.89</v>
      </c>
      <c r="R18" s="48">
        <v>29760.95</v>
      </c>
      <c r="S18" s="48">
        <f t="shared" si="68"/>
        <v>3000</v>
      </c>
      <c r="T18" s="48">
        <v>17740.89</v>
      </c>
      <c r="U18" s="48">
        <f t="shared" si="11"/>
        <v>1800</v>
      </c>
      <c r="V18" s="48">
        <f>((P18-(ROUND((P18-$AC$78)*$AD$79,2)+SUM($AE$73:$AE$78)))*(100%-$AH$65))+$AJ$65</f>
        <v>19198.39475</v>
      </c>
      <c r="W18" s="48">
        <f t="shared" si="69"/>
        <v>8620.17025</v>
      </c>
      <c r="X18" s="48">
        <f>((R18-(ROUND((R18-$AC$78)*$AD$79,2)+SUM($AE$73:$AE$78)))*(100%-$AH$65))+$AJ$65</f>
        <v>19198.35125</v>
      </c>
      <c r="Y18" s="48">
        <f t="shared" si="70"/>
        <v>2175</v>
      </c>
      <c r="Z18" s="48">
        <f>((T18-(ROUND((T18-$AC$78)*$AD$79,2)+SUM($AE$73:$AE$78)))*(100%-$AH$65))+$AJ$65</f>
        <v>12139.57</v>
      </c>
      <c r="AA18" s="48">
        <f t="shared" si="71"/>
        <v>1305</v>
      </c>
      <c r="AC18" s="51">
        <v>20896.0</v>
      </c>
      <c r="AD18" s="52">
        <v>0.165</v>
      </c>
      <c r="AE18" s="51">
        <f t="shared" si="61"/>
        <v>1723.92</v>
      </c>
      <c r="AI18" s="47">
        <f>SUM(AI13:AI17)</f>
        <v>5475.54</v>
      </c>
      <c r="AJ18" s="47"/>
    </row>
    <row r="19">
      <c r="A19" s="34">
        <v>45323.0</v>
      </c>
      <c r="B19" s="48">
        <f>ROUND(39293.32*1.12,2)</f>
        <v>44008.52</v>
      </c>
      <c r="C19" s="48">
        <f t="shared" si="2"/>
        <v>44008.52</v>
      </c>
      <c r="D19" s="48">
        <f>D18</f>
        <v>33721.23</v>
      </c>
      <c r="E19" s="48">
        <f t="shared" si="3"/>
        <v>34260.95</v>
      </c>
      <c r="F19" s="48">
        <f t="shared" si="4"/>
        <v>20440.89</v>
      </c>
      <c r="G19" s="48">
        <f t="shared" ref="G19:H19" si="72">G18</f>
        <v>29832.94</v>
      </c>
      <c r="H19" s="48">
        <f t="shared" si="72"/>
        <v>13640.89</v>
      </c>
      <c r="I19" s="48">
        <f t="shared" ref="I19:I27" si="75">((B19-(ROUND((B19-$AC$78)*$AD$79,2)+SUM($AE$73:$AE$78)))*(100%-$AH$77))+$AJ$77</f>
        <v>27576.2755</v>
      </c>
      <c r="J19" s="48">
        <f t="shared" si="6"/>
        <v>29280.63475</v>
      </c>
      <c r="K19" s="48">
        <f t="shared" ref="K19:K27" si="76">((D19-(ROUND((D19-$AC$78)*$AD$79,2)+SUM($AE$73:$AE$78)))*(100%-$AH$77))+$AJ$77</f>
        <v>21535.06075</v>
      </c>
      <c r="L19" s="48">
        <f t="shared" si="8"/>
        <v>22145.64125</v>
      </c>
      <c r="M19" s="48">
        <f t="shared" si="9"/>
        <v>13912.36</v>
      </c>
      <c r="N19" s="48">
        <f t="shared" ref="N19:O19" si="73">((G19-(ROUND((G19-$AC$78)*$AD$79,2)+SUM($AE$73:$AE$78)))*(100%-$AH$77))+$AJ$77</f>
        <v>19251.666</v>
      </c>
      <c r="O19" s="48">
        <f t="shared" si="73"/>
        <v>9742.885</v>
      </c>
      <c r="P19" s="48">
        <f t="shared" ref="P19:P27" si="78">P18</f>
        <v>29761.03</v>
      </c>
      <c r="Q19" s="48">
        <v>14247.49</v>
      </c>
      <c r="R19" s="48">
        <f>R18</f>
        <v>29760.95</v>
      </c>
      <c r="S19" s="48">
        <v>4500.0</v>
      </c>
      <c r="T19" s="48">
        <f t="shared" ref="T19:T20" si="80">T18</f>
        <v>17740.89</v>
      </c>
      <c r="U19" s="48">
        <f t="shared" si="11"/>
        <v>2700</v>
      </c>
      <c r="V19" s="48">
        <f t="shared" ref="V19:V27" si="81">((P19-(ROUND((P19-$AC$78)*$AD$79,2)+SUM($AE$73:$AE$78)))*(100%-$AH$77))+$AJ$77</f>
        <v>19209.43475</v>
      </c>
      <c r="W19" s="48">
        <f t="shared" ref="W19:W27" si="82">Q19*(100%-$AH$77)</f>
        <v>10329.43025</v>
      </c>
      <c r="X19" s="48">
        <f t="shared" ref="X19:X27" si="83">((R19-(ROUND((R19-$AC$78)*$AD$79,2)+SUM($AE$73:$AE$78)))*(100%-$AH$77))+$AJ$77</f>
        <v>19209.39125</v>
      </c>
      <c r="Y19" s="48">
        <f t="shared" ref="Y19:Y27" si="84">S19*(100%-$AH$77)</f>
        <v>3262.5</v>
      </c>
      <c r="Z19" s="48">
        <f t="shared" ref="Z19:Z27" si="85">((T19-(ROUND((T19-$AC$78)*$AD$79,2)+SUM($AE$73:$AE$78)))*(100%-$AH$77))+$AJ$77</f>
        <v>12150.61</v>
      </c>
      <c r="AA19" s="48">
        <f t="shared" ref="AA19:AA27" si="86">U19*(100%-$AH$77)</f>
        <v>1957.5</v>
      </c>
      <c r="AC19" s="51">
        <v>27369.67</v>
      </c>
      <c r="AD19" s="52">
        <v>0.19</v>
      </c>
      <c r="AE19" s="51">
        <f t="shared" si="61"/>
        <v>1230</v>
      </c>
      <c r="AG19" s="47">
        <f>AG17*AH17-AJ17</f>
        <v>5475.54175</v>
      </c>
      <c r="AH19" s="58">
        <f>AG19-AI18</f>
        <v>0.00175</v>
      </c>
    </row>
    <row r="20">
      <c r="A20" s="34">
        <v>45505.0</v>
      </c>
      <c r="B20" s="48">
        <v>44008.52</v>
      </c>
      <c r="C20" s="48">
        <f t="shared" si="2"/>
        <v>44008.52</v>
      </c>
      <c r="D20" s="48">
        <f>ROUND(33721.23*1.03,2)</f>
        <v>34732.87</v>
      </c>
      <c r="E20" s="48">
        <f t="shared" si="3"/>
        <v>34760.95</v>
      </c>
      <c r="F20" s="48">
        <f t="shared" si="4"/>
        <v>20740.89</v>
      </c>
      <c r="G20" s="48">
        <f t="shared" ref="G20:H20" si="74">G19</f>
        <v>29832.94</v>
      </c>
      <c r="H20" s="48">
        <f t="shared" si="74"/>
        <v>13640.89</v>
      </c>
      <c r="I20" s="48">
        <f t="shared" si="75"/>
        <v>27576.2755</v>
      </c>
      <c r="J20" s="48">
        <f t="shared" si="6"/>
        <v>29280.63475</v>
      </c>
      <c r="K20" s="48">
        <f t="shared" si="76"/>
        <v>22129.1475</v>
      </c>
      <c r="L20" s="48">
        <f t="shared" si="8"/>
        <v>22471.89125</v>
      </c>
      <c r="M20" s="48">
        <f t="shared" si="9"/>
        <v>14108.11</v>
      </c>
      <c r="N20" s="48">
        <f t="shared" ref="N20:O20" si="77">((G20-(ROUND((G20-$AC$78)*$AD$79,2)+SUM($AE$73:$AE$78)))*(100%-$AH$77))+$AJ$77</f>
        <v>19251.666</v>
      </c>
      <c r="O20" s="48">
        <f t="shared" si="77"/>
        <v>9742.885</v>
      </c>
      <c r="P20" s="48">
        <f t="shared" si="78"/>
        <v>29761.03</v>
      </c>
      <c r="Q20" s="48">
        <f t="shared" ref="Q20:R20" si="79">Q19</f>
        <v>14247.49</v>
      </c>
      <c r="R20" s="48">
        <f t="shared" si="79"/>
        <v>29760.95</v>
      </c>
      <c r="S20" s="48">
        <v>5000.0</v>
      </c>
      <c r="T20" s="48">
        <f t="shared" si="80"/>
        <v>17740.89</v>
      </c>
      <c r="U20" s="48">
        <f t="shared" si="11"/>
        <v>3000</v>
      </c>
      <c r="V20" s="48">
        <f t="shared" si="81"/>
        <v>19209.43475</v>
      </c>
      <c r="W20" s="48">
        <f t="shared" si="82"/>
        <v>10329.43025</v>
      </c>
      <c r="X20" s="48">
        <f t="shared" si="83"/>
        <v>19209.39125</v>
      </c>
      <c r="Y20" s="48">
        <f t="shared" si="84"/>
        <v>3625</v>
      </c>
      <c r="Z20" s="48">
        <f t="shared" si="85"/>
        <v>12150.61</v>
      </c>
      <c r="AA20" s="48">
        <f t="shared" si="86"/>
        <v>2175</v>
      </c>
      <c r="AC20" s="51">
        <v>40747.2</v>
      </c>
      <c r="AD20" s="52">
        <v>0.22</v>
      </c>
      <c r="AE20" s="51"/>
      <c r="AG20" s="54">
        <f>AI20/AC19</f>
        <v>0.6429317562</v>
      </c>
      <c r="AH20" s="54">
        <f>AI18/AG17</f>
        <v>0.2373202233</v>
      </c>
      <c r="AI20" s="47">
        <f>AG17-AI18</f>
        <v>17596.83</v>
      </c>
    </row>
    <row r="21">
      <c r="A21" s="34">
        <v>45658.0</v>
      </c>
      <c r="B21" s="48">
        <f>B20</f>
        <v>44008.52</v>
      </c>
      <c r="C21" s="48">
        <f t="shared" si="2"/>
        <v>44008.52</v>
      </c>
      <c r="D21" s="48">
        <v>34732.87</v>
      </c>
      <c r="E21" s="48">
        <f t="shared" si="3"/>
        <v>34760.95</v>
      </c>
      <c r="F21" s="48">
        <f t="shared" si="4"/>
        <v>20740.89</v>
      </c>
      <c r="G21" s="48">
        <v>33086.1</v>
      </c>
      <c r="H21" s="48">
        <v>15189.85</v>
      </c>
      <c r="I21" s="48">
        <f t="shared" si="75"/>
        <v>27576.2755</v>
      </c>
      <c r="J21" s="48">
        <f t="shared" si="6"/>
        <v>29280.63475</v>
      </c>
      <c r="K21" s="48">
        <f t="shared" si="76"/>
        <v>22129.1475</v>
      </c>
      <c r="L21" s="48">
        <f t="shared" si="8"/>
        <v>22471.89125</v>
      </c>
      <c r="M21" s="48">
        <f t="shared" si="9"/>
        <v>14108.11</v>
      </c>
      <c r="N21" s="48">
        <f t="shared" ref="N21:O21" si="87">((G21-(ROUND((G21-$AC$78)*$AD$79,2)+SUM($AE$73:$AE$78)))*(100%-$AH$77))+$AJ$77</f>
        <v>21162.0845</v>
      </c>
      <c r="O21" s="48">
        <f t="shared" si="87"/>
        <v>10652.5135</v>
      </c>
      <c r="P21" s="48">
        <f t="shared" si="78"/>
        <v>29761.03</v>
      </c>
      <c r="Q21" s="48">
        <f t="shared" ref="Q21:Q27" si="91">B21-P21</f>
        <v>14247.49</v>
      </c>
      <c r="R21" s="48">
        <f t="shared" ref="R21:T21" si="88">R20</f>
        <v>29760.95</v>
      </c>
      <c r="S21" s="48">
        <f t="shared" si="88"/>
        <v>5000</v>
      </c>
      <c r="T21" s="48">
        <f t="shared" si="88"/>
        <v>17740.89</v>
      </c>
      <c r="U21" s="48">
        <f t="shared" si="11"/>
        <v>3000</v>
      </c>
      <c r="V21" s="48">
        <f t="shared" si="81"/>
        <v>19209.43475</v>
      </c>
      <c r="W21" s="48">
        <f t="shared" si="82"/>
        <v>10329.43025</v>
      </c>
      <c r="X21" s="48">
        <f t="shared" si="83"/>
        <v>19209.39125</v>
      </c>
      <c r="Y21" s="48">
        <f t="shared" si="84"/>
        <v>3625</v>
      </c>
      <c r="Z21" s="48">
        <f t="shared" si="85"/>
        <v>12150.61</v>
      </c>
      <c r="AA21" s="48">
        <f t="shared" si="86"/>
        <v>2175</v>
      </c>
    </row>
    <row r="22">
      <c r="A22" s="34">
        <v>45689.0</v>
      </c>
      <c r="B22" s="48">
        <f>ROUND((44008.52*(1.18/1.12))+0.07,2)</f>
        <v>46366.19</v>
      </c>
      <c r="C22" s="48">
        <f t="shared" si="2"/>
        <v>46366.19</v>
      </c>
      <c r="D22" s="48">
        <f>D21</f>
        <v>34732.87</v>
      </c>
      <c r="E22" s="48">
        <f t="shared" si="3"/>
        <v>36760.95</v>
      </c>
      <c r="F22" s="48">
        <f t="shared" si="4"/>
        <v>21940.89</v>
      </c>
      <c r="G22" s="48">
        <f t="shared" ref="G22:H22" si="89">G21</f>
        <v>33086.1</v>
      </c>
      <c r="H22" s="48">
        <f t="shared" si="89"/>
        <v>15189.85</v>
      </c>
      <c r="I22" s="48">
        <f t="shared" si="75"/>
        <v>28960.81525</v>
      </c>
      <c r="J22" s="48">
        <f t="shared" si="6"/>
        <v>30947.21475</v>
      </c>
      <c r="K22" s="48">
        <f t="shared" si="76"/>
        <v>22129.1475</v>
      </c>
      <c r="L22" s="48">
        <f t="shared" si="8"/>
        <v>23776.89125</v>
      </c>
      <c r="M22" s="48">
        <f t="shared" si="9"/>
        <v>14891.11</v>
      </c>
      <c r="N22" s="48">
        <f t="shared" ref="N22:O22" si="90">((G22-(ROUND((G22-$AC$78)*$AD$79,2)+SUM($AE$73:$AE$78)))*(100%-$AH$77))+$AJ$77</f>
        <v>21162.0845</v>
      </c>
      <c r="O22" s="48">
        <f t="shared" si="90"/>
        <v>10652.5135</v>
      </c>
      <c r="P22" s="48">
        <f t="shared" si="78"/>
        <v>29761.03</v>
      </c>
      <c r="Q22" s="48">
        <f t="shared" si="91"/>
        <v>16605.16</v>
      </c>
      <c r="R22" s="48">
        <f t="shared" ref="R22:R27" si="94">R21</f>
        <v>29760.95</v>
      </c>
      <c r="S22" s="48">
        <v>7000.0</v>
      </c>
      <c r="T22" s="48">
        <f>T21</f>
        <v>17740.89</v>
      </c>
      <c r="U22" s="48">
        <f t="shared" si="11"/>
        <v>4200</v>
      </c>
      <c r="V22" s="48">
        <f t="shared" si="81"/>
        <v>19209.43475</v>
      </c>
      <c r="W22" s="48">
        <f t="shared" si="82"/>
        <v>12038.741</v>
      </c>
      <c r="X22" s="48">
        <f t="shared" si="83"/>
        <v>19209.39125</v>
      </c>
      <c r="Y22" s="48">
        <f t="shared" si="84"/>
        <v>5075</v>
      </c>
      <c r="Z22" s="48">
        <f t="shared" si="85"/>
        <v>12150.61</v>
      </c>
      <c r="AA22" s="48">
        <f t="shared" si="86"/>
        <v>3045</v>
      </c>
      <c r="AC22" s="54">
        <f>AE22/AC19</f>
        <v>0.1570095657</v>
      </c>
      <c r="AE22" s="47">
        <f>SUM(AE13:AE20)</f>
        <v>4297.3</v>
      </c>
    </row>
    <row r="23">
      <c r="A23" s="34">
        <v>45778.0</v>
      </c>
      <c r="B23" s="48">
        <v>46366.19</v>
      </c>
      <c r="C23" s="48">
        <f t="shared" si="2"/>
        <v>46366.19</v>
      </c>
      <c r="D23" s="48">
        <f>ROUND(34732.87*1.05,2)</f>
        <v>36469.51</v>
      </c>
      <c r="E23" s="48">
        <f t="shared" si="3"/>
        <v>36760.95</v>
      </c>
      <c r="F23" s="48">
        <f t="shared" si="4"/>
        <v>21940.89</v>
      </c>
      <c r="G23" s="48">
        <f t="shared" ref="G23:H23" si="92">G22</f>
        <v>33086.1</v>
      </c>
      <c r="H23" s="48">
        <f t="shared" si="92"/>
        <v>15189.85</v>
      </c>
      <c r="I23" s="48">
        <f t="shared" si="75"/>
        <v>28960.81525</v>
      </c>
      <c r="J23" s="48">
        <f t="shared" si="6"/>
        <v>30947.21475</v>
      </c>
      <c r="K23" s="48">
        <f t="shared" si="76"/>
        <v>23148.9905</v>
      </c>
      <c r="L23" s="48">
        <f t="shared" si="8"/>
        <v>23776.89125</v>
      </c>
      <c r="M23" s="48">
        <f t="shared" si="9"/>
        <v>14891.11</v>
      </c>
      <c r="N23" s="48">
        <f t="shared" ref="N23:O23" si="93">((G23-(ROUND((G23-$AC$78)*$AD$79,2)+SUM($AE$73:$AE$78)))*(100%-$AH$77))+$AJ$77</f>
        <v>21162.0845</v>
      </c>
      <c r="O23" s="48">
        <f t="shared" si="93"/>
        <v>10652.5135</v>
      </c>
      <c r="P23" s="48">
        <f t="shared" si="78"/>
        <v>29761.03</v>
      </c>
      <c r="Q23" s="48">
        <f t="shared" si="91"/>
        <v>16605.16</v>
      </c>
      <c r="R23" s="48">
        <f t="shared" si="94"/>
        <v>29760.95</v>
      </c>
      <c r="S23" s="48">
        <f t="shared" ref="S23:T23" si="95">S22</f>
        <v>7000</v>
      </c>
      <c r="T23" s="48">
        <f t="shared" si="95"/>
        <v>17740.89</v>
      </c>
      <c r="U23" s="48">
        <f t="shared" si="11"/>
        <v>4200</v>
      </c>
      <c r="V23" s="48">
        <f t="shared" si="81"/>
        <v>19209.43475</v>
      </c>
      <c r="W23" s="48">
        <f t="shared" si="82"/>
        <v>12038.741</v>
      </c>
      <c r="X23" s="48">
        <f t="shared" si="83"/>
        <v>19209.39125</v>
      </c>
      <c r="Y23" s="48">
        <f t="shared" si="84"/>
        <v>5075</v>
      </c>
      <c r="Z23" s="48">
        <f t="shared" si="85"/>
        <v>12150.61</v>
      </c>
      <c r="AA23" s="48">
        <f t="shared" si="86"/>
        <v>3045</v>
      </c>
      <c r="AC23" s="56"/>
      <c r="AD23" s="56"/>
      <c r="AE23" s="56"/>
    </row>
    <row r="24">
      <c r="A24" s="34">
        <v>46054.0</v>
      </c>
      <c r="B24" s="59">
        <f t="shared" ref="B24:B27" si="99">B23</f>
        <v>46366.19</v>
      </c>
      <c r="C24" s="48">
        <f t="shared" si="2"/>
        <v>46366.19</v>
      </c>
      <c r="D24" s="48">
        <v>36469.51</v>
      </c>
      <c r="E24" s="48">
        <f t="shared" si="3"/>
        <v>36760.95</v>
      </c>
      <c r="F24" s="48">
        <f t="shared" si="4"/>
        <v>21940.89</v>
      </c>
      <c r="G24" s="48">
        <f t="shared" ref="G24:H24" si="96">G23</f>
        <v>33086.1</v>
      </c>
      <c r="H24" s="48">
        <f t="shared" si="96"/>
        <v>15189.85</v>
      </c>
      <c r="I24" s="48">
        <f t="shared" si="75"/>
        <v>28960.81525</v>
      </c>
      <c r="J24" s="48">
        <f t="shared" si="6"/>
        <v>30947.21475</v>
      </c>
      <c r="K24" s="48">
        <f t="shared" si="76"/>
        <v>23148.9905</v>
      </c>
      <c r="L24" s="48">
        <f t="shared" si="8"/>
        <v>23776.89125</v>
      </c>
      <c r="M24" s="48">
        <f t="shared" si="9"/>
        <v>14891.11</v>
      </c>
      <c r="N24" s="48">
        <f t="shared" ref="N24:O24" si="97">((G24-(ROUND((G24-$AC$78)*$AD$79,2)+SUM($AE$73:$AE$78)))*(100%-$AH$77))+$AJ$77</f>
        <v>21162.0845</v>
      </c>
      <c r="O24" s="48">
        <f t="shared" si="97"/>
        <v>10652.5135</v>
      </c>
      <c r="P24" s="48">
        <f t="shared" si="78"/>
        <v>29761.03</v>
      </c>
      <c r="Q24" s="48">
        <f t="shared" si="91"/>
        <v>16605.16</v>
      </c>
      <c r="R24" s="48">
        <f t="shared" si="94"/>
        <v>29760.95</v>
      </c>
      <c r="S24" s="48">
        <f t="shared" ref="S24:T24" si="98">S23</f>
        <v>7000</v>
      </c>
      <c r="T24" s="48">
        <f t="shared" si="98"/>
        <v>17740.89</v>
      </c>
      <c r="U24" s="48">
        <f t="shared" si="11"/>
        <v>4200</v>
      </c>
      <c r="V24" s="48">
        <f t="shared" si="81"/>
        <v>19209.43475</v>
      </c>
      <c r="W24" s="48">
        <f t="shared" si="82"/>
        <v>12038.741</v>
      </c>
      <c r="X24" s="48">
        <f t="shared" si="83"/>
        <v>19209.39125</v>
      </c>
      <c r="Y24" s="48">
        <f t="shared" si="84"/>
        <v>5075</v>
      </c>
      <c r="Z24" s="48">
        <f t="shared" si="85"/>
        <v>12150.61</v>
      </c>
      <c r="AA24" s="48">
        <f t="shared" si="86"/>
        <v>3045</v>
      </c>
      <c r="AC24" s="49" t="s">
        <v>68</v>
      </c>
      <c r="AD24" s="56"/>
      <c r="AE24" s="56"/>
      <c r="AF24" s="51"/>
      <c r="AG24" s="50" t="s">
        <v>66</v>
      </c>
      <c r="AJ24" s="47"/>
    </row>
    <row r="25">
      <c r="A25" s="34">
        <v>46113.0</v>
      </c>
      <c r="B25" s="59">
        <f t="shared" si="99"/>
        <v>46366.19</v>
      </c>
      <c r="C25" s="48">
        <f t="shared" si="2"/>
        <v>46366.19</v>
      </c>
      <c r="D25" s="48">
        <f>D24</f>
        <v>36469.51</v>
      </c>
      <c r="E25" s="48">
        <f t="shared" si="3"/>
        <v>41260.95</v>
      </c>
      <c r="F25" s="48">
        <f t="shared" si="4"/>
        <v>24640.89</v>
      </c>
      <c r="G25" s="48">
        <v>36694.0</v>
      </c>
      <c r="H25" s="48">
        <v>16914.7</v>
      </c>
      <c r="I25" s="48">
        <f t="shared" si="75"/>
        <v>28960.81525</v>
      </c>
      <c r="J25" s="48">
        <f t="shared" si="6"/>
        <v>30947.21475</v>
      </c>
      <c r="K25" s="48">
        <f t="shared" si="76"/>
        <v>23148.9905</v>
      </c>
      <c r="L25" s="48">
        <f t="shared" si="8"/>
        <v>26713.14125</v>
      </c>
      <c r="M25" s="48">
        <f t="shared" si="9"/>
        <v>16652.86</v>
      </c>
      <c r="N25" s="48">
        <f t="shared" ref="N25:O25" si="100">((G25-(ROUND((G25-$AC$78)*$AD$79,2)+SUM($AE$73:$AE$78)))*(100%-$AH$77))+$AJ$77</f>
        <v>23280.8245</v>
      </c>
      <c r="O25" s="48">
        <f t="shared" si="100"/>
        <v>11665.43275</v>
      </c>
      <c r="P25" s="48">
        <f t="shared" si="78"/>
        <v>29761.03</v>
      </c>
      <c r="Q25" s="48">
        <f t="shared" si="91"/>
        <v>16605.16</v>
      </c>
      <c r="R25" s="48">
        <f t="shared" si="94"/>
        <v>29760.95</v>
      </c>
      <c r="S25" s="48">
        <v>11500.0</v>
      </c>
      <c r="T25" s="48">
        <f>T24</f>
        <v>17740.89</v>
      </c>
      <c r="U25" s="48">
        <f t="shared" si="11"/>
        <v>6900</v>
      </c>
      <c r="V25" s="48">
        <f t="shared" si="81"/>
        <v>19209.43475</v>
      </c>
      <c r="W25" s="48">
        <f t="shared" si="82"/>
        <v>12038.741</v>
      </c>
      <c r="X25" s="48">
        <f t="shared" si="83"/>
        <v>19209.39125</v>
      </c>
      <c r="Y25" s="48">
        <f t="shared" si="84"/>
        <v>8337.5</v>
      </c>
      <c r="Z25" s="48">
        <f t="shared" si="85"/>
        <v>12150.61</v>
      </c>
      <c r="AA25" s="48">
        <f t="shared" si="86"/>
        <v>5002.5</v>
      </c>
      <c r="AC25" s="60">
        <v>1100.0</v>
      </c>
      <c r="AD25" s="61">
        <v>0.075</v>
      </c>
      <c r="AE25" s="62">
        <f>ROUND(AC25*AD25,2)</f>
        <v>82.5</v>
      </c>
      <c r="AF25" s="51"/>
      <c r="AG25" s="51">
        <v>1903.98</v>
      </c>
      <c r="AH25" s="53">
        <v>0.0</v>
      </c>
      <c r="AI25" s="51">
        <f>AG25*AH25</f>
        <v>0</v>
      </c>
      <c r="AJ25" s="51">
        <v>0.0</v>
      </c>
    </row>
    <row r="26">
      <c r="A26" s="34">
        <v>46143.0</v>
      </c>
      <c r="B26" s="59">
        <f t="shared" si="99"/>
        <v>46366.19</v>
      </c>
      <c r="C26" s="48">
        <f t="shared" si="2"/>
        <v>46366.19</v>
      </c>
      <c r="D26" s="48">
        <f>ROUND((36469.51*1.1338)+0.87,2)</f>
        <v>41350</v>
      </c>
      <c r="E26" s="48">
        <f t="shared" si="3"/>
        <v>41260.95</v>
      </c>
      <c r="F26" s="48">
        <f t="shared" si="4"/>
        <v>24640.89</v>
      </c>
      <c r="G26" s="48">
        <f t="shared" ref="G26:H26" si="101">G25</f>
        <v>36694</v>
      </c>
      <c r="H26" s="48">
        <f t="shared" si="101"/>
        <v>16914.7</v>
      </c>
      <c r="I26" s="48">
        <f t="shared" si="75"/>
        <v>28960.81525</v>
      </c>
      <c r="J26" s="48">
        <f t="shared" si="6"/>
        <v>30947.21475</v>
      </c>
      <c r="K26" s="48">
        <f t="shared" si="76"/>
        <v>26015.0605</v>
      </c>
      <c r="L26" s="48">
        <f t="shared" si="8"/>
        <v>26713.14125</v>
      </c>
      <c r="M26" s="48">
        <f t="shared" si="9"/>
        <v>16652.86</v>
      </c>
      <c r="N26" s="48">
        <f t="shared" ref="N26:O26" si="102">((G26-(ROUND((G26-$AC$78)*$AD$79,2)+SUM($AE$73:$AE$78)))*(100%-$AH$77))+$AJ$77</f>
        <v>23280.8245</v>
      </c>
      <c r="O26" s="48">
        <f t="shared" si="102"/>
        <v>11665.43275</v>
      </c>
      <c r="P26" s="48">
        <f t="shared" si="78"/>
        <v>29761.03</v>
      </c>
      <c r="Q26" s="48">
        <f t="shared" si="91"/>
        <v>16605.16</v>
      </c>
      <c r="R26" s="48">
        <f t="shared" si="94"/>
        <v>29760.95</v>
      </c>
      <c r="S26" s="48">
        <f t="shared" ref="S26:T26" si="103">S25</f>
        <v>11500</v>
      </c>
      <c r="T26" s="48">
        <f t="shared" si="103"/>
        <v>17740.89</v>
      </c>
      <c r="U26" s="48">
        <f t="shared" si="11"/>
        <v>6900</v>
      </c>
      <c r="V26" s="48">
        <f t="shared" si="81"/>
        <v>19209.43475</v>
      </c>
      <c r="W26" s="48">
        <f t="shared" si="82"/>
        <v>12038.741</v>
      </c>
      <c r="X26" s="48">
        <f t="shared" si="83"/>
        <v>19209.39125</v>
      </c>
      <c r="Y26" s="48">
        <f t="shared" si="84"/>
        <v>8337.5</v>
      </c>
      <c r="Z26" s="48">
        <f t="shared" si="85"/>
        <v>12150.61</v>
      </c>
      <c r="AA26" s="48">
        <f t="shared" si="86"/>
        <v>5002.5</v>
      </c>
      <c r="AC26" s="60">
        <v>2203.48</v>
      </c>
      <c r="AD26" s="61">
        <v>0.09</v>
      </c>
      <c r="AE26" s="62">
        <f t="shared" ref="AE26:AE31" si="106">ROUND((AC26-AC25)*AD26,2)</f>
        <v>99.31</v>
      </c>
      <c r="AF26" s="51"/>
      <c r="AG26" s="51">
        <v>2826.65</v>
      </c>
      <c r="AH26" s="53">
        <v>0.075</v>
      </c>
      <c r="AI26" s="51">
        <f t="shared" ref="AI26:AI29" si="107">ROUND((AG26-AG25)*AH26,2)</f>
        <v>69.2</v>
      </c>
      <c r="AJ26" s="51">
        <v>142.8</v>
      </c>
    </row>
    <row r="27">
      <c r="A27" s="34">
        <v>46419.0</v>
      </c>
      <c r="B27" s="59">
        <f t="shared" si="99"/>
        <v>46366.19</v>
      </c>
      <c r="C27" s="48">
        <f t="shared" si="2"/>
        <v>46366.19</v>
      </c>
      <c r="D27" s="59">
        <v>41350.0</v>
      </c>
      <c r="E27" s="48">
        <f t="shared" si="3"/>
        <v>41663.45</v>
      </c>
      <c r="F27" s="48">
        <f t="shared" si="4"/>
        <v>24882.39</v>
      </c>
      <c r="G27" s="59">
        <f t="shared" ref="G27:H27" si="104">G26</f>
        <v>36694</v>
      </c>
      <c r="H27" s="59">
        <f t="shared" si="104"/>
        <v>16914.7</v>
      </c>
      <c r="I27" s="48">
        <f t="shared" si="75"/>
        <v>28960.81525</v>
      </c>
      <c r="J27" s="48">
        <f t="shared" si="6"/>
        <v>30947.21475</v>
      </c>
      <c r="K27" s="59">
        <f t="shared" si="76"/>
        <v>26015.0605</v>
      </c>
      <c r="L27" s="48">
        <f t="shared" si="8"/>
        <v>26975.77125</v>
      </c>
      <c r="M27" s="48">
        <f t="shared" si="9"/>
        <v>16810.44</v>
      </c>
      <c r="N27" s="59">
        <f t="shared" ref="N27:O27" si="105">((G27-(ROUND((G27-$AC$78)*$AD$79,2)+SUM($AE$73:$AE$78)))*(100%-$AH$77))+$AJ$77</f>
        <v>23280.8245</v>
      </c>
      <c r="O27" s="59">
        <f t="shared" si="105"/>
        <v>11665.43275</v>
      </c>
      <c r="P27" s="48">
        <f t="shared" si="78"/>
        <v>29761.03</v>
      </c>
      <c r="Q27" s="48">
        <f t="shared" si="91"/>
        <v>16605.16</v>
      </c>
      <c r="R27" s="48">
        <f t="shared" si="94"/>
        <v>29760.95</v>
      </c>
      <c r="S27" s="59">
        <f>ROUND(11500*1.035,2)</f>
        <v>11902.5</v>
      </c>
      <c r="T27" s="48">
        <f>T26</f>
        <v>17740.89</v>
      </c>
      <c r="U27" s="48">
        <f t="shared" si="11"/>
        <v>7141.5</v>
      </c>
      <c r="V27" s="48">
        <f t="shared" si="81"/>
        <v>19209.43475</v>
      </c>
      <c r="W27" s="48">
        <f t="shared" si="82"/>
        <v>12038.741</v>
      </c>
      <c r="X27" s="59">
        <f t="shared" si="83"/>
        <v>19209.39125</v>
      </c>
      <c r="Y27" s="59">
        <f t="shared" si="84"/>
        <v>8629.3125</v>
      </c>
      <c r="Z27" s="59">
        <f t="shared" si="85"/>
        <v>12150.61</v>
      </c>
      <c r="AA27" s="59">
        <f t="shared" si="86"/>
        <v>5177.5875</v>
      </c>
      <c r="AB27" s="49"/>
      <c r="AC27" s="60">
        <v>3305.22</v>
      </c>
      <c r="AD27" s="61">
        <v>0.12</v>
      </c>
      <c r="AE27" s="62">
        <f t="shared" si="106"/>
        <v>132.21</v>
      </c>
      <c r="AF27" s="51"/>
      <c r="AG27" s="51">
        <v>3751.05</v>
      </c>
      <c r="AH27" s="53">
        <v>0.15</v>
      </c>
      <c r="AI27" s="51">
        <f t="shared" si="107"/>
        <v>138.66</v>
      </c>
      <c r="AJ27" s="51">
        <v>354.8</v>
      </c>
    </row>
    <row r="28">
      <c r="A28" s="63"/>
      <c r="B28" s="59"/>
      <c r="C28" s="48"/>
      <c r="D28" s="59"/>
      <c r="E28" s="48"/>
      <c r="F28" s="59"/>
      <c r="G28" s="59"/>
      <c r="H28" s="48"/>
      <c r="I28" s="48"/>
      <c r="J28" s="48"/>
      <c r="K28" s="59"/>
      <c r="L28" s="48"/>
      <c r="M28" s="59"/>
      <c r="N28" s="59"/>
      <c r="O28" s="59"/>
      <c r="P28" s="59"/>
      <c r="Q28" s="48"/>
      <c r="R28" s="59"/>
      <c r="S28" s="59"/>
      <c r="T28" s="48"/>
      <c r="U28" s="48"/>
      <c r="V28" s="48"/>
      <c r="W28" s="48"/>
      <c r="X28" s="59"/>
      <c r="Y28" s="59"/>
      <c r="Z28" s="59"/>
      <c r="AA28" s="59"/>
      <c r="AB28" s="62"/>
      <c r="AC28" s="60">
        <v>6433.57</v>
      </c>
      <c r="AD28" s="61">
        <v>0.14</v>
      </c>
      <c r="AE28" s="62">
        <f t="shared" si="106"/>
        <v>437.97</v>
      </c>
      <c r="AF28" s="51"/>
      <c r="AG28" s="51">
        <v>4664.68</v>
      </c>
      <c r="AH28" s="53">
        <v>0.225</v>
      </c>
      <c r="AI28" s="51">
        <f t="shared" si="107"/>
        <v>205.57</v>
      </c>
      <c r="AJ28" s="51">
        <v>636.13</v>
      </c>
    </row>
    <row r="29">
      <c r="A29" s="63"/>
      <c r="B29" s="59"/>
      <c r="C29" s="48"/>
      <c r="D29" s="59"/>
      <c r="E29" s="48"/>
      <c r="F29" s="59"/>
      <c r="G29" s="59"/>
      <c r="H29" s="48"/>
      <c r="I29" s="48"/>
      <c r="J29" s="48"/>
      <c r="K29" s="59"/>
      <c r="L29" s="48"/>
      <c r="M29" s="59"/>
      <c r="N29" s="59"/>
      <c r="O29" s="59"/>
      <c r="P29" s="59"/>
      <c r="Q29" s="48"/>
      <c r="R29" s="59"/>
      <c r="S29" s="59"/>
      <c r="T29" s="48"/>
      <c r="U29" s="48"/>
      <c r="V29" s="48"/>
      <c r="W29" s="48"/>
      <c r="X29" s="59"/>
      <c r="Y29" s="59"/>
      <c r="Z29" s="59"/>
      <c r="AA29" s="59"/>
      <c r="AB29" s="62"/>
      <c r="AC29" s="60">
        <v>11017.42</v>
      </c>
      <c r="AD29" s="61">
        <v>0.145</v>
      </c>
      <c r="AE29" s="62">
        <f t="shared" si="106"/>
        <v>664.66</v>
      </c>
      <c r="AF29" s="51"/>
      <c r="AG29" s="51">
        <f>AC31-AE34</f>
        <v>23121.53</v>
      </c>
      <c r="AH29" s="53">
        <v>0.275</v>
      </c>
      <c r="AI29" s="51">
        <f t="shared" si="107"/>
        <v>5075.63</v>
      </c>
      <c r="AJ29" s="51">
        <v>869.36</v>
      </c>
    </row>
    <row r="30">
      <c r="A30" s="63"/>
      <c r="B30" s="59"/>
      <c r="C30" s="48"/>
      <c r="D30" s="59"/>
      <c r="E30" s="48"/>
      <c r="F30" s="59"/>
      <c r="G30" s="59"/>
      <c r="H30" s="48"/>
      <c r="I30" s="48"/>
      <c r="J30" s="48"/>
      <c r="K30" s="59"/>
      <c r="L30" s="48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62"/>
      <c r="AC30" s="60">
        <v>22034.83</v>
      </c>
      <c r="AD30" s="61">
        <v>0.165</v>
      </c>
      <c r="AE30" s="62">
        <f t="shared" si="106"/>
        <v>1817.87</v>
      </c>
      <c r="AF30" s="51"/>
      <c r="AI30" s="47">
        <f>SUM(AI25:AI29)</f>
        <v>5489.06</v>
      </c>
      <c r="AJ30" s="47"/>
    </row>
    <row r="31">
      <c r="A31" s="63"/>
      <c r="B31" s="59"/>
      <c r="C31" s="48"/>
      <c r="D31" s="59"/>
      <c r="E31" s="48"/>
      <c r="F31" s="59"/>
      <c r="G31" s="59"/>
      <c r="H31" s="48"/>
      <c r="I31" s="48"/>
      <c r="J31" s="48"/>
      <c r="K31" s="59"/>
      <c r="L31" s="48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62"/>
      <c r="AC31" s="62">
        <v>27369.67</v>
      </c>
      <c r="AD31" s="61">
        <v>0.19</v>
      </c>
      <c r="AE31" s="62">
        <f t="shared" si="106"/>
        <v>1013.62</v>
      </c>
      <c r="AF31" s="51"/>
      <c r="AG31" s="47">
        <f>AG29*AH29-AJ29</f>
        <v>5489.06075</v>
      </c>
      <c r="AH31" s="58">
        <f>AG31-AI30</f>
        <v>0.0007500000002</v>
      </c>
    </row>
    <row r="32">
      <c r="A32" s="63"/>
      <c r="B32" s="59"/>
      <c r="C32" s="48"/>
      <c r="D32" s="59"/>
      <c r="E32" s="48"/>
      <c r="F32" s="59"/>
      <c r="G32" s="59"/>
      <c r="H32" s="48"/>
      <c r="I32" s="48"/>
      <c r="J32" s="48"/>
      <c r="K32" s="59"/>
      <c r="L32" s="48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62"/>
      <c r="AC32" s="60">
        <v>42967.92</v>
      </c>
      <c r="AD32" s="61">
        <v>0.22</v>
      </c>
      <c r="AE32" s="64"/>
      <c r="AG32" s="54">
        <f>AI32/AC31</f>
        <v>0.6442339276</v>
      </c>
      <c r="AH32" s="54">
        <f>AI30/AG29</f>
        <v>0.2374003796</v>
      </c>
      <c r="AI32" s="47">
        <f>AG29-AI30</f>
        <v>17632.47</v>
      </c>
    </row>
    <row r="33">
      <c r="A33" s="63"/>
      <c r="B33" s="59"/>
      <c r="C33" s="48"/>
      <c r="D33" s="59"/>
      <c r="E33" s="48"/>
      <c r="F33" s="59"/>
      <c r="G33" s="59"/>
      <c r="H33" s="48"/>
      <c r="I33" s="48"/>
      <c r="J33" s="48"/>
      <c r="K33" s="59"/>
      <c r="L33" s="48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62"/>
      <c r="AC33" s="56"/>
      <c r="AD33" s="56"/>
      <c r="AE33" s="56"/>
    </row>
    <row r="34">
      <c r="A34" s="63"/>
      <c r="B34" s="59"/>
      <c r="C34" s="48"/>
      <c r="D34" s="59"/>
      <c r="E34" s="48"/>
      <c r="F34" s="59"/>
      <c r="G34" s="59"/>
      <c r="H34" s="48"/>
      <c r="I34" s="48"/>
      <c r="J34" s="48"/>
      <c r="K34" s="59"/>
      <c r="L34" s="48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62"/>
      <c r="AC34" s="61">
        <f>AE34/AC31</f>
        <v>0.1552134169</v>
      </c>
      <c r="AD34" s="56"/>
      <c r="AE34" s="62">
        <f>SUM(AE25:AE32)</f>
        <v>4248.14</v>
      </c>
    </row>
    <row r="35">
      <c r="A35" s="63"/>
      <c r="B35" s="59"/>
      <c r="C35" s="48"/>
      <c r="D35" s="59"/>
      <c r="E35" s="48"/>
      <c r="F35" s="59"/>
      <c r="G35" s="59"/>
      <c r="H35" s="48"/>
      <c r="I35" s="48"/>
      <c r="J35" s="48"/>
      <c r="K35" s="59"/>
      <c r="L35" s="48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62"/>
    </row>
    <row r="36">
      <c r="A36" s="63"/>
      <c r="B36" s="59"/>
      <c r="C36" s="48"/>
      <c r="D36" s="59"/>
      <c r="E36" s="48"/>
      <c r="F36" s="59"/>
      <c r="G36" s="59"/>
      <c r="H36" s="48"/>
      <c r="I36" s="48"/>
      <c r="J36" s="48"/>
      <c r="K36" s="59"/>
      <c r="L36" s="48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6"/>
      <c r="AC36" s="49" t="s">
        <v>69</v>
      </c>
      <c r="AD36" s="56"/>
      <c r="AE36" s="56"/>
      <c r="AG36" s="50" t="s">
        <v>66</v>
      </c>
      <c r="AJ36" s="47"/>
    </row>
    <row r="37">
      <c r="A37" s="63"/>
      <c r="B37" s="59"/>
      <c r="H37" s="48"/>
      <c r="I37" s="48"/>
      <c r="J37" s="48"/>
      <c r="T37" s="48"/>
      <c r="U37" s="48"/>
      <c r="V37" s="48"/>
      <c r="W37" s="48"/>
      <c r="AB37" s="61"/>
      <c r="AC37" s="60">
        <v>1212.0</v>
      </c>
      <c r="AD37" s="61">
        <v>0.075</v>
      </c>
      <c r="AE37" s="62">
        <f>ROUND(AC37*AD37,2)</f>
        <v>90.9</v>
      </c>
      <c r="AG37" s="51">
        <v>1903.98</v>
      </c>
      <c r="AH37" s="53">
        <v>0.0</v>
      </c>
      <c r="AI37" s="51">
        <f>AG37*AH37</f>
        <v>0</v>
      </c>
      <c r="AJ37" s="51">
        <v>0.0</v>
      </c>
    </row>
    <row r="38">
      <c r="A38" s="63"/>
      <c r="B38" s="59"/>
      <c r="H38" s="48"/>
      <c r="I38" s="48"/>
      <c r="J38" s="48"/>
      <c r="T38" s="48"/>
      <c r="U38" s="48"/>
      <c r="V38" s="48"/>
      <c r="W38" s="48"/>
      <c r="AB38" s="56"/>
      <c r="AC38" s="60">
        <v>2427.35</v>
      </c>
      <c r="AD38" s="61">
        <v>0.09</v>
      </c>
      <c r="AE38" s="62">
        <f t="shared" ref="AE38:AE43" si="108">ROUND((AC38-AC37)*AD38,2)</f>
        <v>109.38</v>
      </c>
      <c r="AG38" s="51">
        <v>2826.65</v>
      </c>
      <c r="AH38" s="53">
        <v>0.075</v>
      </c>
      <c r="AI38" s="51">
        <f t="shared" ref="AI38:AI41" si="109">ROUND((AG38-AG37)*AH38,2)</f>
        <v>69.2</v>
      </c>
      <c r="AJ38" s="51">
        <v>142.8</v>
      </c>
    </row>
    <row r="39">
      <c r="A39" s="63"/>
      <c r="AB39" s="56"/>
      <c r="AC39" s="60">
        <v>3641.03</v>
      </c>
      <c r="AD39" s="61">
        <v>0.12</v>
      </c>
      <c r="AE39" s="62">
        <f t="shared" si="108"/>
        <v>145.64</v>
      </c>
      <c r="AG39" s="51">
        <v>3751.05</v>
      </c>
      <c r="AH39" s="53">
        <v>0.15</v>
      </c>
      <c r="AI39" s="51">
        <f t="shared" si="109"/>
        <v>138.66</v>
      </c>
      <c r="AJ39" s="51">
        <v>354.8</v>
      </c>
    </row>
    <row r="40">
      <c r="A40" s="63"/>
      <c r="AB40" s="49"/>
      <c r="AC40" s="60">
        <v>7087.22</v>
      </c>
      <c r="AD40" s="61">
        <v>0.14</v>
      </c>
      <c r="AE40" s="62">
        <f t="shared" si="108"/>
        <v>482.47</v>
      </c>
      <c r="AG40" s="51">
        <v>4664.68</v>
      </c>
      <c r="AH40" s="53">
        <v>0.225</v>
      </c>
      <c r="AI40" s="51">
        <f t="shared" si="109"/>
        <v>205.57</v>
      </c>
      <c r="AJ40" s="51">
        <v>636.13</v>
      </c>
    </row>
    <row r="41">
      <c r="A41" s="63"/>
      <c r="AB41" s="62"/>
      <c r="AC41" s="60">
        <v>12136.79</v>
      </c>
      <c r="AD41" s="61">
        <v>0.145</v>
      </c>
      <c r="AE41" s="62">
        <f t="shared" si="108"/>
        <v>732.19</v>
      </c>
      <c r="AG41" s="51">
        <f>AC43-AE46</f>
        <v>23218.26</v>
      </c>
      <c r="AH41" s="53">
        <v>0.275</v>
      </c>
      <c r="AI41" s="51">
        <f t="shared" si="109"/>
        <v>5102.23</v>
      </c>
      <c r="AJ41" s="51">
        <v>869.36</v>
      </c>
    </row>
    <row r="42">
      <c r="A42" s="63"/>
      <c r="AB42" s="62"/>
      <c r="AC42" s="60">
        <v>24273.57</v>
      </c>
      <c r="AD42" s="61">
        <v>0.165</v>
      </c>
      <c r="AE42" s="62">
        <f t="shared" si="108"/>
        <v>2002.57</v>
      </c>
      <c r="AI42" s="47">
        <f>SUM(AI37:AI41)</f>
        <v>5515.66</v>
      </c>
      <c r="AJ42" s="47"/>
    </row>
    <row r="43">
      <c r="A43" s="63"/>
      <c r="AB43" s="62"/>
      <c r="AC43" s="62">
        <v>27369.67</v>
      </c>
      <c r="AD43" s="61">
        <v>0.19</v>
      </c>
      <c r="AE43" s="62">
        <f t="shared" si="108"/>
        <v>588.26</v>
      </c>
      <c r="AG43" s="47">
        <f>AG41*AH41-AJ41</f>
        <v>5515.6615</v>
      </c>
      <c r="AH43" s="58">
        <f>AG43-AI42</f>
        <v>0.0015</v>
      </c>
    </row>
    <row r="44">
      <c r="A44" s="65"/>
      <c r="AB44" s="62"/>
      <c r="AC44" s="60">
        <v>47333.46</v>
      </c>
      <c r="AD44" s="61">
        <v>0.22</v>
      </c>
      <c r="AE44" s="64"/>
      <c r="AG44" s="54">
        <f>AI44/AC43</f>
        <v>0.6467962529</v>
      </c>
      <c r="AH44" s="54">
        <f>AI42/AG41</f>
        <v>0.2375569918</v>
      </c>
      <c r="AI44" s="47">
        <f>AG41-AI42</f>
        <v>17702.6</v>
      </c>
    </row>
    <row r="45">
      <c r="A45" s="65"/>
      <c r="AB45" s="62"/>
      <c r="AC45" s="56"/>
      <c r="AD45" s="56"/>
      <c r="AE45" s="56"/>
    </row>
    <row r="46">
      <c r="A46" s="65"/>
      <c r="AB46" s="62"/>
      <c r="AC46" s="61">
        <f>AE46/AC43</f>
        <v>0.1516792128</v>
      </c>
      <c r="AD46" s="56"/>
      <c r="AE46" s="62">
        <f>SUM(AE37:AE44)</f>
        <v>4151.41</v>
      </c>
    </row>
    <row r="47">
      <c r="AB47" s="62"/>
    </row>
    <row r="48">
      <c r="AB48" s="62"/>
      <c r="AC48" s="49" t="s">
        <v>70</v>
      </c>
      <c r="AD48" s="56"/>
      <c r="AE48" s="56"/>
      <c r="AG48" s="50" t="s">
        <v>66</v>
      </c>
      <c r="AJ48" s="47"/>
    </row>
    <row r="49">
      <c r="AB49" s="56"/>
      <c r="AC49" s="60">
        <v>1302.0</v>
      </c>
      <c r="AD49" s="61">
        <v>0.075</v>
      </c>
      <c r="AE49" s="62">
        <f>ROUND(AC49*AD49,2)</f>
        <v>97.65</v>
      </c>
      <c r="AG49" s="51">
        <v>1903.98</v>
      </c>
      <c r="AH49" s="53">
        <v>0.0</v>
      </c>
      <c r="AI49" s="51">
        <f>AG49*AH49</f>
        <v>0</v>
      </c>
      <c r="AJ49" s="51">
        <v>0.0</v>
      </c>
    </row>
    <row r="50">
      <c r="AB50" s="61"/>
      <c r="AC50" s="60">
        <v>2571.29</v>
      </c>
      <c r="AD50" s="61">
        <v>0.09</v>
      </c>
      <c r="AE50" s="62">
        <f t="shared" ref="AE50:AE55" si="110">ROUND((AC50-AC49)*AD50,2)</f>
        <v>114.24</v>
      </c>
      <c r="AG50" s="51">
        <v>2826.65</v>
      </c>
      <c r="AH50" s="53">
        <v>0.075</v>
      </c>
      <c r="AI50" s="51">
        <f t="shared" ref="AI50:AI53" si="111">ROUND((AG50-AG49)*AH50,2)</f>
        <v>69.2</v>
      </c>
      <c r="AJ50" s="51">
        <v>142.8</v>
      </c>
    </row>
    <row r="51">
      <c r="AB51" s="56"/>
      <c r="AC51" s="60">
        <v>3856.94</v>
      </c>
      <c r="AD51" s="61">
        <v>0.12</v>
      </c>
      <c r="AE51" s="62">
        <f t="shared" si="110"/>
        <v>154.28</v>
      </c>
      <c r="AG51" s="51">
        <v>3751.05</v>
      </c>
      <c r="AH51" s="53">
        <v>0.15</v>
      </c>
      <c r="AI51" s="51">
        <f t="shared" si="111"/>
        <v>138.66</v>
      </c>
      <c r="AJ51" s="51">
        <v>354.8</v>
      </c>
    </row>
    <row r="52">
      <c r="AB52" s="56"/>
      <c r="AC52" s="60">
        <v>7507.49</v>
      </c>
      <c r="AD52" s="61">
        <v>0.14</v>
      </c>
      <c r="AE52" s="62">
        <f t="shared" si="110"/>
        <v>511.08</v>
      </c>
      <c r="AG52" s="51">
        <v>4664.68</v>
      </c>
      <c r="AH52" s="53">
        <v>0.225</v>
      </c>
      <c r="AI52" s="51">
        <f t="shared" si="111"/>
        <v>205.57</v>
      </c>
      <c r="AJ52" s="51">
        <v>636.13</v>
      </c>
    </row>
    <row r="53">
      <c r="AB53" s="49"/>
      <c r="AC53" s="60">
        <v>12856.5</v>
      </c>
      <c r="AD53" s="61">
        <v>0.145</v>
      </c>
      <c r="AE53" s="62">
        <f t="shared" si="110"/>
        <v>775.61</v>
      </c>
      <c r="AG53" s="51">
        <f>AC55-AE58</f>
        <v>23280.72</v>
      </c>
      <c r="AH53" s="53">
        <v>0.275</v>
      </c>
      <c r="AI53" s="51">
        <f t="shared" si="111"/>
        <v>5119.41</v>
      </c>
      <c r="AJ53" s="51">
        <v>869.36</v>
      </c>
    </row>
    <row r="54">
      <c r="AB54" s="62"/>
      <c r="AC54" s="60">
        <v>25712.99</v>
      </c>
      <c r="AD54" s="61">
        <v>0.165</v>
      </c>
      <c r="AE54" s="62">
        <f t="shared" si="110"/>
        <v>2121.32</v>
      </c>
      <c r="AI54" s="47">
        <f>SUM(AI49:AI53)</f>
        <v>5532.84</v>
      </c>
      <c r="AJ54" s="47"/>
    </row>
    <row r="55">
      <c r="AB55" s="62"/>
      <c r="AC55" s="62">
        <v>27369.67</v>
      </c>
      <c r="AD55" s="61">
        <v>0.19</v>
      </c>
      <c r="AE55" s="62">
        <f t="shared" si="110"/>
        <v>314.77</v>
      </c>
      <c r="AG55" s="47">
        <f>AG53*AH53-AJ53</f>
        <v>5532.838</v>
      </c>
      <c r="AH55" s="58">
        <f>AG55-AI54</f>
        <v>-0.002</v>
      </c>
    </row>
    <row r="56">
      <c r="AB56" s="62"/>
      <c r="AC56" s="62">
        <v>50140.33</v>
      </c>
      <c r="AD56" s="61">
        <v>0.22</v>
      </c>
      <c r="AE56" s="64"/>
      <c r="AG56" s="54">
        <f>AI56/AC55</f>
        <v>0.648450639</v>
      </c>
      <c r="AH56" s="54">
        <f>AI54/AG53</f>
        <v>0.2376575982</v>
      </c>
      <c r="AI56" s="47">
        <f>AG53-AI54</f>
        <v>17747.88</v>
      </c>
    </row>
    <row r="57">
      <c r="AB57" s="62"/>
      <c r="AC57" s="56"/>
      <c r="AD57" s="56"/>
      <c r="AE57" s="56"/>
    </row>
    <row r="58">
      <c r="AB58" s="62"/>
      <c r="AC58" s="61">
        <f>AE58/AC55</f>
        <v>0.1493971246</v>
      </c>
      <c r="AD58" s="56"/>
      <c r="AE58" s="62">
        <f>SUM(AE49:AE56)</f>
        <v>4088.95</v>
      </c>
      <c r="AJ58" s="47"/>
    </row>
    <row r="59">
      <c r="AB59" s="62"/>
      <c r="AC59" s="56"/>
      <c r="AD59" s="56"/>
      <c r="AE59" s="56"/>
      <c r="AJ59" s="47"/>
    </row>
    <row r="60">
      <c r="AB60" s="62"/>
      <c r="AC60" s="50" t="s">
        <v>71</v>
      </c>
      <c r="AG60" s="50" t="s">
        <v>72</v>
      </c>
      <c r="AJ60" s="47"/>
    </row>
    <row r="61">
      <c r="AB61" s="62"/>
      <c r="AC61" s="51">
        <v>1320.0</v>
      </c>
      <c r="AD61" s="52">
        <v>0.075</v>
      </c>
      <c r="AE61" s="51">
        <f>ROUND(AC61*AD61,2)</f>
        <v>99</v>
      </c>
      <c r="AG61" s="51">
        <v>2112.0</v>
      </c>
      <c r="AH61" s="52">
        <v>0.0</v>
      </c>
      <c r="AI61" s="51">
        <f>AG61*AH61</f>
        <v>0</v>
      </c>
      <c r="AJ61" s="51">
        <v>0.0</v>
      </c>
    </row>
    <row r="62">
      <c r="AB62" s="56"/>
      <c r="AC62" s="51">
        <v>2571.29</v>
      </c>
      <c r="AD62" s="52">
        <v>0.09</v>
      </c>
      <c r="AE62" s="51">
        <f t="shared" ref="AE62:AE67" si="112">ROUND((AC62-AC61)*AD62,2)</f>
        <v>112.62</v>
      </c>
      <c r="AG62" s="51">
        <v>2826.65</v>
      </c>
      <c r="AH62" s="52">
        <v>0.075</v>
      </c>
      <c r="AI62" s="51">
        <f t="shared" ref="AI62:AI65" si="113">(AG62-AG61)*AH62</f>
        <v>53.59875</v>
      </c>
      <c r="AJ62" s="51">
        <v>158.4</v>
      </c>
    </row>
    <row r="63">
      <c r="AB63" s="61"/>
      <c r="AC63" s="51">
        <v>3856.94</v>
      </c>
      <c r="AD63" s="52">
        <v>0.12</v>
      </c>
      <c r="AE63" s="51">
        <f t="shared" si="112"/>
        <v>154.28</v>
      </c>
      <c r="AG63" s="51">
        <v>3751.05</v>
      </c>
      <c r="AH63" s="52">
        <v>0.15</v>
      </c>
      <c r="AI63" s="51">
        <f t="shared" si="113"/>
        <v>138.66</v>
      </c>
      <c r="AJ63" s="51">
        <v>370.4</v>
      </c>
    </row>
    <row r="64">
      <c r="AB64" s="56"/>
      <c r="AC64" s="51">
        <v>7507.49</v>
      </c>
      <c r="AD64" s="52">
        <v>0.14</v>
      </c>
      <c r="AE64" s="51">
        <f t="shared" si="112"/>
        <v>511.08</v>
      </c>
      <c r="AG64" s="51">
        <v>4664.68</v>
      </c>
      <c r="AH64" s="52">
        <v>0.225</v>
      </c>
      <c r="AI64" s="51">
        <f t="shared" si="113"/>
        <v>205.56675</v>
      </c>
      <c r="AJ64" s="51">
        <v>651.73</v>
      </c>
    </row>
    <row r="65">
      <c r="AB65" s="56"/>
      <c r="AC65" s="51">
        <v>12856.5</v>
      </c>
      <c r="AD65" s="52">
        <v>0.145</v>
      </c>
      <c r="AE65" s="51">
        <f t="shared" si="112"/>
        <v>775.61</v>
      </c>
      <c r="AG65" s="51">
        <f>AC67-AE70</f>
        <v>25276.24</v>
      </c>
      <c r="AH65" s="52">
        <v>0.275</v>
      </c>
      <c r="AI65" s="51">
        <f t="shared" si="113"/>
        <v>5668.179</v>
      </c>
      <c r="AJ65" s="51">
        <v>884.96</v>
      </c>
    </row>
    <row r="66">
      <c r="AB66" s="49"/>
      <c r="AC66" s="51">
        <v>25712.99</v>
      </c>
      <c r="AD66" s="52">
        <v>0.165</v>
      </c>
      <c r="AE66" s="51">
        <f t="shared" si="112"/>
        <v>2121.32</v>
      </c>
      <c r="AI66" s="47">
        <f t="shared" ref="AI66:AJ66" si="114">SUM(AI61:AI65)</f>
        <v>6066.0045</v>
      </c>
      <c r="AJ66" s="47">
        <f t="shared" si="114"/>
        <v>2065.49</v>
      </c>
    </row>
    <row r="67">
      <c r="AB67" s="62"/>
      <c r="AC67" s="51">
        <v>29832.94</v>
      </c>
      <c r="AD67" s="52">
        <v>0.19</v>
      </c>
      <c r="AE67" s="51">
        <f t="shared" si="112"/>
        <v>782.79</v>
      </c>
      <c r="AG67" s="47">
        <f>AG65*AH65-AJ65</f>
        <v>6066.006</v>
      </c>
      <c r="AH67" s="58">
        <f>AG67-AI66</f>
        <v>0.0015</v>
      </c>
      <c r="AJ67" s="47"/>
    </row>
    <row r="68">
      <c r="AB68" s="62"/>
      <c r="AC68" s="51">
        <v>50140.33</v>
      </c>
      <c r="AD68" s="52">
        <v>0.22</v>
      </c>
      <c r="AE68" s="51"/>
      <c r="AG68" s="54">
        <f>AI68/AC67</f>
        <v>0.6439269981</v>
      </c>
      <c r="AH68" s="54">
        <f>AI66/AG65</f>
        <v>0.2399884041</v>
      </c>
      <c r="AI68" s="47">
        <f>AG65-AI66</f>
        <v>19210.2355</v>
      </c>
    </row>
    <row r="69">
      <c r="AB69" s="62"/>
      <c r="AJ69" s="47"/>
    </row>
    <row r="70">
      <c r="AB70" s="62"/>
      <c r="AC70" s="54">
        <f>AE70/AC67</f>
        <v>0.1527405613</v>
      </c>
      <c r="AE70" s="47">
        <f>SUM(AE61:AE68)</f>
        <v>4556.7</v>
      </c>
      <c r="AJ70" s="47"/>
    </row>
    <row r="71">
      <c r="AB71" s="62"/>
      <c r="AJ71" s="47"/>
    </row>
    <row r="72">
      <c r="AB72" s="62"/>
      <c r="AC72" s="50" t="s">
        <v>73</v>
      </c>
      <c r="AG72" s="50" t="s">
        <v>74</v>
      </c>
      <c r="AH72" s="66"/>
      <c r="AI72" s="66"/>
      <c r="AJ72" s="67"/>
    </row>
    <row r="73">
      <c r="AB73" s="62"/>
      <c r="AC73" s="51">
        <v>1412.0</v>
      </c>
      <c r="AD73" s="52">
        <v>0.075</v>
      </c>
      <c r="AE73" s="51">
        <f>ROUND(AC73*AD73,2)</f>
        <v>105.9</v>
      </c>
      <c r="AG73" s="51">
        <v>2259.2</v>
      </c>
      <c r="AH73" s="52">
        <v>0.0</v>
      </c>
      <c r="AI73" s="51">
        <f>AG73*AH73</f>
        <v>0</v>
      </c>
      <c r="AJ73" s="51">
        <v>0.0</v>
      </c>
    </row>
    <row r="74">
      <c r="AB74" s="62"/>
      <c r="AC74" s="51">
        <v>2666.68</v>
      </c>
      <c r="AD74" s="52">
        <v>0.09</v>
      </c>
      <c r="AE74" s="51">
        <f t="shared" ref="AE74:AE79" si="115">ROUND((AC74-AC73)*AD74,2)</f>
        <v>112.92</v>
      </c>
      <c r="AG74" s="51">
        <v>2828.65</v>
      </c>
      <c r="AH74" s="52">
        <v>0.075</v>
      </c>
      <c r="AI74" s="51">
        <f t="shared" ref="AI74:AI77" si="116">ROUND((AG74-AG73)*AH74,2)</f>
        <v>42.71</v>
      </c>
      <c r="AJ74" s="51">
        <f>AH74*AG73</f>
        <v>169.44</v>
      </c>
    </row>
    <row r="75">
      <c r="AB75" s="56"/>
      <c r="AC75" s="51">
        <v>4000.63</v>
      </c>
      <c r="AD75" s="52">
        <v>0.12</v>
      </c>
      <c r="AE75" s="51">
        <f t="shared" si="115"/>
        <v>160.07</v>
      </c>
      <c r="AG75" s="51">
        <v>3751.05</v>
      </c>
      <c r="AH75" s="52">
        <v>0.15</v>
      </c>
      <c r="AI75" s="51">
        <f t="shared" si="116"/>
        <v>138.36</v>
      </c>
      <c r="AJ75" s="51">
        <v>381.44</v>
      </c>
    </row>
    <row r="76">
      <c r="AB76" s="61"/>
      <c r="AC76" s="51">
        <v>7786.02</v>
      </c>
      <c r="AD76" s="52">
        <v>0.14</v>
      </c>
      <c r="AE76" s="51">
        <f t="shared" si="115"/>
        <v>529.95</v>
      </c>
      <c r="AG76" s="51">
        <v>4664.68</v>
      </c>
      <c r="AH76" s="52">
        <v>0.225</v>
      </c>
      <c r="AI76" s="51">
        <f t="shared" si="116"/>
        <v>205.57</v>
      </c>
      <c r="AJ76" s="51">
        <v>662.77</v>
      </c>
    </row>
    <row r="77">
      <c r="AB77" s="56"/>
      <c r="AC77" s="51">
        <v>13333.48</v>
      </c>
      <c r="AD77" s="52">
        <v>0.145</v>
      </c>
      <c r="AE77" s="51">
        <f t="shared" si="115"/>
        <v>804.38</v>
      </c>
      <c r="AG77" s="51">
        <f>AC79-AE82</f>
        <v>25318.16</v>
      </c>
      <c r="AH77" s="52">
        <v>0.275</v>
      </c>
      <c r="AI77" s="51">
        <f t="shared" si="116"/>
        <v>5679.71</v>
      </c>
      <c r="AJ77" s="51">
        <v>896.0</v>
      </c>
    </row>
    <row r="78">
      <c r="AB78" s="56"/>
      <c r="AC78" s="51">
        <v>26666.94</v>
      </c>
      <c r="AD78" s="52">
        <v>0.165</v>
      </c>
      <c r="AE78" s="51">
        <f t="shared" si="115"/>
        <v>2200.02</v>
      </c>
      <c r="AI78" s="47">
        <f>SUM(AI73:AI77)</f>
        <v>6066.35</v>
      </c>
      <c r="AJ78" s="47"/>
    </row>
    <row r="79">
      <c r="AB79" s="50"/>
      <c r="AC79" s="51">
        <v>29832.94</v>
      </c>
      <c r="AD79" s="52">
        <v>0.19</v>
      </c>
      <c r="AE79" s="51">
        <f t="shared" si="115"/>
        <v>601.54</v>
      </c>
      <c r="AG79" s="47">
        <f>AG77*AH77-AJ77</f>
        <v>6066.494</v>
      </c>
      <c r="AH79" s="58">
        <f>AG79-AI78</f>
        <v>0.144</v>
      </c>
    </row>
    <row r="80">
      <c r="AB80" s="51"/>
      <c r="AC80" s="51">
        <v>52000.54</v>
      </c>
      <c r="AD80" s="52">
        <v>0.22</v>
      </c>
      <c r="AE80" s="51"/>
      <c r="AG80" s="54">
        <f>AI80/AC79</f>
        <v>0.6453205752</v>
      </c>
      <c r="AH80" s="54">
        <f>AI78/AG77</f>
        <v>0.2396046948</v>
      </c>
      <c r="AI80" s="47">
        <f>AG77-AI78</f>
        <v>19251.81</v>
      </c>
      <c r="AJ80" s="47"/>
    </row>
    <row r="81">
      <c r="AB81" s="51"/>
      <c r="AJ81" s="47"/>
    </row>
    <row r="82">
      <c r="AB82" s="51"/>
      <c r="AC82" s="54">
        <f>AE82/AC79</f>
        <v>0.1513354031</v>
      </c>
      <c r="AE82" s="47">
        <f>SUM(AE73:AE80)</f>
        <v>4514.78</v>
      </c>
      <c r="AJ82" s="4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7" width="12.38"/>
  </cols>
  <sheetData>
    <row r="1">
      <c r="A1" s="32" t="s">
        <v>9</v>
      </c>
      <c r="B1" s="33" t="str">
        <f>'Página7'!B1</f>
        <v>STF (bruto)</v>
      </c>
      <c r="C1" s="33" t="str">
        <f>'Página7'!C1</f>
        <v>PFN (bruto)</v>
      </c>
      <c r="D1" s="33" t="str">
        <f>'Página7'!D1</f>
        <v>DPF (bruto)</v>
      </c>
      <c r="E1" s="33" t="str">
        <f>'Página7'!E1</f>
        <v>AFRFB (bruto)</v>
      </c>
      <c r="F1" s="33" t="str">
        <f>'Página7'!F1</f>
        <v>ATRFB (bruto)</v>
      </c>
      <c r="G1" s="33" t="str">
        <f>'Página7'!G1</f>
        <v>AFFC (bruto)</v>
      </c>
      <c r="H1" s="33" t="str">
        <f>'Página7'!H1</f>
        <v>TFFC (bruto)</v>
      </c>
      <c r="I1" s="33" t="str">
        <f>'Página7'!I1</f>
        <v>STF (líquido)</v>
      </c>
      <c r="J1" s="33" t="str">
        <f>'Página7'!J1</f>
        <v>PFN (líquido)</v>
      </c>
      <c r="K1" s="33" t="str">
        <f>'Página7'!K1</f>
        <v>DPF (líquido)</v>
      </c>
      <c r="L1" s="33" t="str">
        <f>'Página7'!L1</f>
        <v>AFRFB (líquido)</v>
      </c>
      <c r="M1" s="33" t="str">
        <f>'Página7'!M1</f>
        <v>ATRFB (líquido)</v>
      </c>
      <c r="N1" s="33" t="str">
        <f>'Página7'!N1</f>
        <v>AFFC (líquido)</v>
      </c>
      <c r="O1" s="33" t="str">
        <f>'Página7'!O1</f>
        <v>TFFC (líquido)</v>
      </c>
      <c r="P1" s="33" t="str">
        <f>'Página7'!P1</f>
        <v>PFN: subsídio (bruto)</v>
      </c>
      <c r="Q1" s="33" t="str">
        <f>'Página7'!Q1</f>
        <v>PFN: HA (bruto)</v>
      </c>
      <c r="R1" s="33" t="str">
        <f>'Página7'!R1</f>
        <v>AFRFB: VB (bruto)</v>
      </c>
      <c r="S1" s="33" t="str">
        <f>'Página7'!S1</f>
        <v>AFRFB: BEP (bruto)</v>
      </c>
      <c r="T1" s="33" t="str">
        <f>'Página7'!T1</f>
        <v>ATRFB: VB (bruto)</v>
      </c>
      <c r="U1" s="33" t="str">
        <f>'Página7'!U1</f>
        <v>ATRFB: BEP (bruto)</v>
      </c>
      <c r="V1" s="33" t="str">
        <f>'Página7'!V1</f>
        <v>PFN: subsídio (líquido)</v>
      </c>
      <c r="W1" s="33" t="str">
        <f>'Página7'!W1</f>
        <v>PFN: HA (líquido)</v>
      </c>
      <c r="X1" s="33" t="str">
        <f>'Página7'!X1</f>
        <v>AFRFB: VB (líquido)</v>
      </c>
      <c r="Y1" s="33" t="str">
        <f>'Página7'!Y1</f>
        <v>AFRFB: BEP (líquido)</v>
      </c>
      <c r="Z1" s="33" t="str">
        <f>'Página7'!Z1</f>
        <v>ATRFB: VB (líquido)</v>
      </c>
      <c r="AA1" s="33" t="str">
        <f>'Página7'!AA1</f>
        <v>ATRFB: BEP (líquido)</v>
      </c>
    </row>
    <row r="2">
      <c r="A2" s="34">
        <v>42370.0</v>
      </c>
      <c r="B2" s="48">
        <f>ROUND(IF(MONTH($A2)=12,2.333,1)*VLOOKUP($A2,'Página7'!$A$1:$AA$27,COLUMN(),TRUE),2)</f>
        <v>33763</v>
      </c>
      <c r="C2" s="48">
        <f t="shared" ref="C2:C73" si="1">ROUND(IF(MONTH($A2)=12,2.333,1)*(P2+ROUND((Q2/13.33333)*12,2)),2)</f>
        <v>22516.94</v>
      </c>
      <c r="D2" s="48">
        <f>ROUND(IF(MONTH($A2)=12,2.333,1)*VLOOKUP($A2,'Página7'!$A$1:$AA$27,COLUMN(),TRUE),2)</f>
        <v>22805</v>
      </c>
      <c r="E2" s="48">
        <f t="shared" ref="E2:E145" si="2">ROUND(IF(MONTH($A2)=12,2.333,1)*(R2+ROUND((S2/13.33333)*12,2)),2)</f>
        <v>22516.88</v>
      </c>
      <c r="F2" s="48">
        <f t="shared" ref="F2:F145" si="3">ROUND(IF(MONTH($A2)=12,2.333,1)*(T2+ROUND((U2/13.33333)*12,2)),2)</f>
        <v>13422.61</v>
      </c>
      <c r="G2" s="48">
        <f>ROUND(IF(MONTH($A2)=12,2.333,1)*VLOOKUP($A2,'Página7'!$A$1:$AA$27,COLUMN(),TRUE),2)</f>
        <v>21391.1</v>
      </c>
      <c r="H2" s="48">
        <f>ROUND(IF(MONTH($A2)=12,2.333,1)*VLOOKUP($A2,'Página7'!$A$1:$AA$27,COLUMN(),TRUE),2)</f>
        <v>9780.92</v>
      </c>
      <c r="I2" s="48">
        <f>ROUND(IF(MONTH($A2)=12,2.333,1)*VLOOKUP($A2,'Página7'!$A$1:$AA$27,COLUMN(),TRUE),2)</f>
        <v>22654.94</v>
      </c>
      <c r="J2" s="48">
        <f t="shared" ref="J2:J73" si="4">ROUND(IF(MONTH($A2)=12,2.333,1)*(V2+ROUND((W2/13.33333)*12,2)),2)</f>
        <v>15398.42</v>
      </c>
      <c r="K2" s="48">
        <f>ROUND(IF(MONTH($A2)=12,2.333,1)*VLOOKUP($A2,'Página7'!$A$1:$AA$27,COLUMN(),TRUE),2)</f>
        <v>15584.29</v>
      </c>
      <c r="L2" s="48">
        <f t="shared" ref="L2:L145" si="5">ROUND(IF(MONTH($A2)=12,2.333,1)*(X2+ROUND((Y2/13.33333)*12,2)),2)</f>
        <v>15398.37</v>
      </c>
      <c r="M2" s="48">
        <f t="shared" ref="M2:M145" si="6">ROUND(IF(MONTH($A2)=12,2.333,1)*(Z2+ROUND((AA2/13.33333)*12,2)),2)</f>
        <v>9530.3</v>
      </c>
      <c r="N2" s="48">
        <f>ROUND(IF(MONTH($A2)=12,2.333,1)*VLOOKUP($A2,'Página7'!$A$1:$AA$27,COLUMN(),TRUE),2)</f>
        <v>14671.97</v>
      </c>
      <c r="O2" s="48">
        <f>ROUND(IF(MONTH($A2)=12,2.333,1)*VLOOKUP($A2,'Página7'!$A$1:$AA$27,COLUMN(),TRUE),2)</f>
        <v>7180.5</v>
      </c>
      <c r="P2" s="48">
        <f>VLOOKUP($A2,'Página7'!$A$1:$AA$27,COLUMN(),TRUE)</f>
        <v>22516.94</v>
      </c>
      <c r="Q2" s="48">
        <f>VLOOKUP($A2,'Página7'!$A$1:$AA$27,COLUMN(),TRUE)</f>
        <v>0</v>
      </c>
      <c r="R2" s="48">
        <f>VLOOKUP($A2,'Página7'!$A$1:$AA$27,COLUMN(),TRUE)</f>
        <v>22516.88</v>
      </c>
      <c r="S2" s="48">
        <f>VLOOKUP($A2,'Página7'!$A$1:$AA$27,COLUMN(),TRUE)</f>
        <v>0</v>
      </c>
      <c r="T2" s="48">
        <f>VLOOKUP($A2,'Página7'!$A$1:$AA$27,COLUMN(),TRUE)</f>
        <v>13422.61</v>
      </c>
      <c r="U2" s="48">
        <f>VLOOKUP($A2,'Página7'!$A$1:$AA$27,COLUMN(),TRUE)</f>
        <v>0</v>
      </c>
      <c r="V2" s="48">
        <f>VLOOKUP($A2,'Página7'!$A$1:$AA$27,COLUMN(),TRUE)</f>
        <v>15398.418</v>
      </c>
      <c r="W2" s="48">
        <f>VLOOKUP($A2,'Página7'!$A$1:$AA$27,COLUMN(),TRUE)</f>
        <v>0</v>
      </c>
      <c r="X2" s="48">
        <f>VLOOKUP($A2,'Página7'!$A$1:$AA$27,COLUMN(),TRUE)</f>
        <v>15398.3745</v>
      </c>
      <c r="Y2" s="48">
        <f>VLOOKUP($A2,'Página7'!$A$1:$AA$27,COLUMN(),TRUE)</f>
        <v>0</v>
      </c>
      <c r="Z2" s="48">
        <f>VLOOKUP($A2,'Página7'!$A$1:$AA$27,COLUMN(),TRUE)</f>
        <v>9530.297</v>
      </c>
      <c r="AA2" s="48">
        <f>VLOOKUP($A2,'Página7'!$A$1:$AA$27,COLUMN(),TRUE)</f>
        <v>0</v>
      </c>
    </row>
    <row r="3">
      <c r="A3" s="34">
        <v>42401.0</v>
      </c>
      <c r="B3" s="48">
        <f>ROUND(IF(MONTH($A3)=12,2.333,1)*VLOOKUP($A3,'Página7'!$A$1:$AA$27,COLUMN(),TRUE),2)</f>
        <v>33763</v>
      </c>
      <c r="C3" s="48">
        <f t="shared" si="1"/>
        <v>22516.94</v>
      </c>
      <c r="D3" s="48">
        <f>ROUND(IF(MONTH($A3)=12,2.333,1)*VLOOKUP($A3,'Página7'!$A$1:$AA$27,COLUMN(),TRUE),2)</f>
        <v>22805</v>
      </c>
      <c r="E3" s="48">
        <f t="shared" si="2"/>
        <v>22516.88</v>
      </c>
      <c r="F3" s="48">
        <f t="shared" si="3"/>
        <v>13422.61</v>
      </c>
      <c r="G3" s="48">
        <f>ROUND(IF(MONTH($A3)=12,2.333,1)*VLOOKUP($A3,'Página7'!$A$1:$AA$27,COLUMN(),TRUE),2)</f>
        <v>21391.1</v>
      </c>
      <c r="H3" s="48">
        <f>ROUND(IF(MONTH($A3)=12,2.333,1)*VLOOKUP($A3,'Página7'!$A$1:$AA$27,COLUMN(),TRUE),2)</f>
        <v>9780.92</v>
      </c>
      <c r="I3" s="48">
        <f>ROUND(IF(MONTH($A3)=12,2.333,1)*VLOOKUP($A3,'Página7'!$A$1:$AA$27,COLUMN(),TRUE),2)</f>
        <v>22654.94</v>
      </c>
      <c r="J3" s="48">
        <f t="shared" si="4"/>
        <v>15398.42</v>
      </c>
      <c r="K3" s="48">
        <f>ROUND(IF(MONTH($A3)=12,2.333,1)*VLOOKUP($A3,'Página7'!$A$1:$AA$27,COLUMN(),TRUE),2)</f>
        <v>15584.29</v>
      </c>
      <c r="L3" s="48">
        <f t="shared" si="5"/>
        <v>15398.37</v>
      </c>
      <c r="M3" s="48">
        <f t="shared" si="6"/>
        <v>9530.3</v>
      </c>
      <c r="N3" s="48">
        <f>ROUND(IF(MONTH($A3)=12,2.333,1)*VLOOKUP($A3,'Página7'!$A$1:$AA$27,COLUMN(),TRUE),2)</f>
        <v>14671.97</v>
      </c>
      <c r="O3" s="48">
        <f>ROUND(IF(MONTH($A3)=12,2.333,1)*VLOOKUP($A3,'Página7'!$A$1:$AA$27,COLUMN(),TRUE),2)</f>
        <v>7180.5</v>
      </c>
      <c r="P3" s="48">
        <f>VLOOKUP($A3,'Página7'!$A$1:$AA$27,COLUMN(),TRUE)</f>
        <v>22516.94</v>
      </c>
      <c r="Q3" s="48">
        <f>VLOOKUP($A3,'Página7'!$A$1:$AA$27,COLUMN(),TRUE)</f>
        <v>0</v>
      </c>
      <c r="R3" s="48">
        <f>VLOOKUP($A3,'Página7'!$A$1:$AA$27,COLUMN(),TRUE)</f>
        <v>22516.88</v>
      </c>
      <c r="S3" s="48">
        <f>VLOOKUP($A3,'Página7'!$A$1:$AA$27,COLUMN(),TRUE)</f>
        <v>0</v>
      </c>
      <c r="T3" s="48">
        <f>VLOOKUP($A3,'Página7'!$A$1:$AA$27,COLUMN(),TRUE)</f>
        <v>13422.61</v>
      </c>
      <c r="U3" s="48">
        <f>VLOOKUP($A3,'Página7'!$A$1:$AA$27,COLUMN(),TRUE)</f>
        <v>0</v>
      </c>
      <c r="V3" s="48">
        <f>VLOOKUP($A3,'Página7'!$A$1:$AA$27,COLUMN(),TRUE)</f>
        <v>15398.418</v>
      </c>
      <c r="W3" s="48">
        <f>VLOOKUP($A3,'Página7'!$A$1:$AA$27,COLUMN(),TRUE)</f>
        <v>0</v>
      </c>
      <c r="X3" s="48">
        <f>VLOOKUP($A3,'Página7'!$A$1:$AA$27,COLUMN(),TRUE)</f>
        <v>15398.3745</v>
      </c>
      <c r="Y3" s="48">
        <f>VLOOKUP($A3,'Página7'!$A$1:$AA$27,COLUMN(),TRUE)</f>
        <v>0</v>
      </c>
      <c r="Z3" s="48">
        <f>VLOOKUP($A3,'Página7'!$A$1:$AA$27,COLUMN(),TRUE)</f>
        <v>9530.297</v>
      </c>
      <c r="AA3" s="48">
        <f>VLOOKUP($A3,'Página7'!$A$1:$AA$27,COLUMN(),TRUE)</f>
        <v>0</v>
      </c>
    </row>
    <row r="4">
      <c r="A4" s="34">
        <v>42430.0</v>
      </c>
      <c r="B4" s="48">
        <f>ROUND(IF(MONTH($A4)=12,2.333,1)*VLOOKUP($A4,'Página7'!$A$1:$AA$27,COLUMN(),TRUE),2)</f>
        <v>33763</v>
      </c>
      <c r="C4" s="48">
        <f t="shared" si="1"/>
        <v>22516.94</v>
      </c>
      <c r="D4" s="48">
        <f>ROUND(IF(MONTH($A4)=12,2.333,1)*VLOOKUP($A4,'Página7'!$A$1:$AA$27,COLUMN(),TRUE),2)</f>
        <v>22805</v>
      </c>
      <c r="E4" s="48">
        <f t="shared" si="2"/>
        <v>22516.88</v>
      </c>
      <c r="F4" s="48">
        <f t="shared" si="3"/>
        <v>13422.61</v>
      </c>
      <c r="G4" s="48">
        <f>ROUND(IF(MONTH($A4)=12,2.333,1)*VLOOKUP($A4,'Página7'!$A$1:$AA$27,COLUMN(),TRUE),2)</f>
        <v>21391.1</v>
      </c>
      <c r="H4" s="48">
        <f>ROUND(IF(MONTH($A4)=12,2.333,1)*VLOOKUP($A4,'Página7'!$A$1:$AA$27,COLUMN(),TRUE),2)</f>
        <v>9780.92</v>
      </c>
      <c r="I4" s="48">
        <f>ROUND(IF(MONTH($A4)=12,2.333,1)*VLOOKUP($A4,'Página7'!$A$1:$AA$27,COLUMN(),TRUE),2)</f>
        <v>22654.94</v>
      </c>
      <c r="J4" s="48">
        <f t="shared" si="4"/>
        <v>15398.42</v>
      </c>
      <c r="K4" s="48">
        <f>ROUND(IF(MONTH($A4)=12,2.333,1)*VLOOKUP($A4,'Página7'!$A$1:$AA$27,COLUMN(),TRUE),2)</f>
        <v>15584.29</v>
      </c>
      <c r="L4" s="48">
        <f t="shared" si="5"/>
        <v>15398.37</v>
      </c>
      <c r="M4" s="48">
        <f t="shared" si="6"/>
        <v>9530.3</v>
      </c>
      <c r="N4" s="48">
        <f>ROUND(IF(MONTH($A4)=12,2.333,1)*VLOOKUP($A4,'Página7'!$A$1:$AA$27,COLUMN(),TRUE),2)</f>
        <v>14671.97</v>
      </c>
      <c r="O4" s="48">
        <f>ROUND(IF(MONTH($A4)=12,2.333,1)*VLOOKUP($A4,'Página7'!$A$1:$AA$27,COLUMN(),TRUE),2)</f>
        <v>7180.5</v>
      </c>
      <c r="P4" s="48">
        <f>VLOOKUP($A4,'Página7'!$A$1:$AA$27,COLUMN(),TRUE)</f>
        <v>22516.94</v>
      </c>
      <c r="Q4" s="48">
        <f>VLOOKUP($A4,'Página7'!$A$1:$AA$27,COLUMN(),TRUE)</f>
        <v>0</v>
      </c>
      <c r="R4" s="48">
        <f>VLOOKUP($A4,'Página7'!$A$1:$AA$27,COLUMN(),TRUE)</f>
        <v>22516.88</v>
      </c>
      <c r="S4" s="48">
        <f>VLOOKUP($A4,'Página7'!$A$1:$AA$27,COLUMN(),TRUE)</f>
        <v>0</v>
      </c>
      <c r="T4" s="48">
        <f>VLOOKUP($A4,'Página7'!$A$1:$AA$27,COLUMN(),TRUE)</f>
        <v>13422.61</v>
      </c>
      <c r="U4" s="48">
        <f>VLOOKUP($A4,'Página7'!$A$1:$AA$27,COLUMN(),TRUE)</f>
        <v>0</v>
      </c>
      <c r="V4" s="48">
        <f>VLOOKUP($A4,'Página7'!$A$1:$AA$27,COLUMN(),TRUE)</f>
        <v>15398.418</v>
      </c>
      <c r="W4" s="48">
        <f>VLOOKUP($A4,'Página7'!$A$1:$AA$27,COLUMN(),TRUE)</f>
        <v>0</v>
      </c>
      <c r="X4" s="48">
        <f>VLOOKUP($A4,'Página7'!$A$1:$AA$27,COLUMN(),TRUE)</f>
        <v>15398.3745</v>
      </c>
      <c r="Y4" s="48">
        <f>VLOOKUP($A4,'Página7'!$A$1:$AA$27,COLUMN(),TRUE)</f>
        <v>0</v>
      </c>
      <c r="Z4" s="48">
        <f>VLOOKUP($A4,'Página7'!$A$1:$AA$27,COLUMN(),TRUE)</f>
        <v>9530.297</v>
      </c>
      <c r="AA4" s="48">
        <f>VLOOKUP($A4,'Página7'!$A$1:$AA$27,COLUMN(),TRUE)</f>
        <v>0</v>
      </c>
    </row>
    <row r="5">
      <c r="A5" s="34">
        <v>42461.0</v>
      </c>
      <c r="B5" s="48">
        <f>ROUND(IF(MONTH($A5)=12,2.333,1)*VLOOKUP($A5,'Página7'!$A$1:$AA$27,COLUMN(),TRUE),2)</f>
        <v>33763</v>
      </c>
      <c r="C5" s="48">
        <f t="shared" si="1"/>
        <v>22516.94</v>
      </c>
      <c r="D5" s="48">
        <f>ROUND(IF(MONTH($A5)=12,2.333,1)*VLOOKUP($A5,'Página7'!$A$1:$AA$27,COLUMN(),TRUE),2)</f>
        <v>22805</v>
      </c>
      <c r="E5" s="48">
        <f t="shared" si="2"/>
        <v>22516.88</v>
      </c>
      <c r="F5" s="48">
        <f t="shared" si="3"/>
        <v>13422.61</v>
      </c>
      <c r="G5" s="48">
        <f>ROUND(IF(MONTH($A5)=12,2.333,1)*VLOOKUP($A5,'Página7'!$A$1:$AA$27,COLUMN(),TRUE),2)</f>
        <v>21391.1</v>
      </c>
      <c r="H5" s="48">
        <f>ROUND(IF(MONTH($A5)=12,2.333,1)*VLOOKUP($A5,'Página7'!$A$1:$AA$27,COLUMN(),TRUE),2)</f>
        <v>9780.92</v>
      </c>
      <c r="I5" s="48">
        <f>ROUND(IF(MONTH($A5)=12,2.333,1)*VLOOKUP($A5,'Página7'!$A$1:$AA$27,COLUMN(),TRUE),2)</f>
        <v>22654.94</v>
      </c>
      <c r="J5" s="48">
        <f t="shared" si="4"/>
        <v>15398.42</v>
      </c>
      <c r="K5" s="48">
        <f>ROUND(IF(MONTH($A5)=12,2.333,1)*VLOOKUP($A5,'Página7'!$A$1:$AA$27,COLUMN(),TRUE),2)</f>
        <v>15584.29</v>
      </c>
      <c r="L5" s="48">
        <f t="shared" si="5"/>
        <v>15398.37</v>
      </c>
      <c r="M5" s="48">
        <f t="shared" si="6"/>
        <v>9530.3</v>
      </c>
      <c r="N5" s="48">
        <f>ROUND(IF(MONTH($A5)=12,2.333,1)*VLOOKUP($A5,'Página7'!$A$1:$AA$27,COLUMN(),TRUE),2)</f>
        <v>14671.97</v>
      </c>
      <c r="O5" s="48">
        <f>ROUND(IF(MONTH($A5)=12,2.333,1)*VLOOKUP($A5,'Página7'!$A$1:$AA$27,COLUMN(),TRUE),2)</f>
        <v>7180.5</v>
      </c>
      <c r="P5" s="48">
        <f>VLOOKUP($A5,'Página7'!$A$1:$AA$27,COLUMN(),TRUE)</f>
        <v>22516.94</v>
      </c>
      <c r="Q5" s="48">
        <f>VLOOKUP($A5,'Página7'!$A$1:$AA$27,COLUMN(),TRUE)</f>
        <v>0</v>
      </c>
      <c r="R5" s="48">
        <f>VLOOKUP($A5,'Página7'!$A$1:$AA$27,COLUMN(),TRUE)</f>
        <v>22516.88</v>
      </c>
      <c r="S5" s="48">
        <f>VLOOKUP($A5,'Página7'!$A$1:$AA$27,COLUMN(),TRUE)</f>
        <v>0</v>
      </c>
      <c r="T5" s="48">
        <f>VLOOKUP($A5,'Página7'!$A$1:$AA$27,COLUMN(),TRUE)</f>
        <v>13422.61</v>
      </c>
      <c r="U5" s="48">
        <f>VLOOKUP($A5,'Página7'!$A$1:$AA$27,COLUMN(),TRUE)</f>
        <v>0</v>
      </c>
      <c r="V5" s="48">
        <f>VLOOKUP($A5,'Página7'!$A$1:$AA$27,COLUMN(),TRUE)</f>
        <v>15398.418</v>
      </c>
      <c r="W5" s="48">
        <f>VLOOKUP($A5,'Página7'!$A$1:$AA$27,COLUMN(),TRUE)</f>
        <v>0</v>
      </c>
      <c r="X5" s="48">
        <f>VLOOKUP($A5,'Página7'!$A$1:$AA$27,COLUMN(),TRUE)</f>
        <v>15398.3745</v>
      </c>
      <c r="Y5" s="48">
        <f>VLOOKUP($A5,'Página7'!$A$1:$AA$27,COLUMN(),TRUE)</f>
        <v>0</v>
      </c>
      <c r="Z5" s="48">
        <f>VLOOKUP($A5,'Página7'!$A$1:$AA$27,COLUMN(),TRUE)</f>
        <v>9530.297</v>
      </c>
      <c r="AA5" s="48">
        <f>VLOOKUP($A5,'Página7'!$A$1:$AA$27,COLUMN(),TRUE)</f>
        <v>0</v>
      </c>
    </row>
    <row r="6">
      <c r="A6" s="34">
        <v>42491.0</v>
      </c>
      <c r="B6" s="48">
        <f>ROUND(IF(MONTH($A6)=12,2.333,1)*VLOOKUP($A6,'Página7'!$A$1:$AA$27,COLUMN(),TRUE),2)</f>
        <v>33763</v>
      </c>
      <c r="C6" s="48">
        <f t="shared" si="1"/>
        <v>22516.94</v>
      </c>
      <c r="D6" s="48">
        <f>ROUND(IF(MONTH($A6)=12,2.333,1)*VLOOKUP($A6,'Página7'!$A$1:$AA$27,COLUMN(),TRUE),2)</f>
        <v>22805</v>
      </c>
      <c r="E6" s="48">
        <f t="shared" si="2"/>
        <v>22516.88</v>
      </c>
      <c r="F6" s="48">
        <f t="shared" si="3"/>
        <v>13422.61</v>
      </c>
      <c r="G6" s="48">
        <f>ROUND(IF(MONTH($A6)=12,2.333,1)*VLOOKUP($A6,'Página7'!$A$1:$AA$27,COLUMN(),TRUE),2)</f>
        <v>21391.1</v>
      </c>
      <c r="H6" s="48">
        <f>ROUND(IF(MONTH($A6)=12,2.333,1)*VLOOKUP($A6,'Página7'!$A$1:$AA$27,COLUMN(),TRUE),2)</f>
        <v>9780.92</v>
      </c>
      <c r="I6" s="48">
        <f>ROUND(IF(MONTH($A6)=12,2.333,1)*VLOOKUP($A6,'Página7'!$A$1:$AA$27,COLUMN(),TRUE),2)</f>
        <v>22654.94</v>
      </c>
      <c r="J6" s="48">
        <f t="shared" si="4"/>
        <v>15398.42</v>
      </c>
      <c r="K6" s="48">
        <f>ROUND(IF(MONTH($A6)=12,2.333,1)*VLOOKUP($A6,'Página7'!$A$1:$AA$27,COLUMN(),TRUE),2)</f>
        <v>15584.29</v>
      </c>
      <c r="L6" s="48">
        <f t="shared" si="5"/>
        <v>15398.37</v>
      </c>
      <c r="M6" s="48">
        <f t="shared" si="6"/>
        <v>9530.3</v>
      </c>
      <c r="N6" s="48">
        <f>ROUND(IF(MONTH($A6)=12,2.333,1)*VLOOKUP($A6,'Página7'!$A$1:$AA$27,COLUMN(),TRUE),2)</f>
        <v>14671.97</v>
      </c>
      <c r="O6" s="48">
        <f>ROUND(IF(MONTH($A6)=12,2.333,1)*VLOOKUP($A6,'Página7'!$A$1:$AA$27,COLUMN(),TRUE),2)</f>
        <v>7180.5</v>
      </c>
      <c r="P6" s="48">
        <f>VLOOKUP($A6,'Página7'!$A$1:$AA$27,COLUMN(),TRUE)</f>
        <v>22516.94</v>
      </c>
      <c r="Q6" s="48">
        <f>VLOOKUP($A6,'Página7'!$A$1:$AA$27,COLUMN(),TRUE)</f>
        <v>0</v>
      </c>
      <c r="R6" s="48">
        <f>VLOOKUP($A6,'Página7'!$A$1:$AA$27,COLUMN(),TRUE)</f>
        <v>22516.88</v>
      </c>
      <c r="S6" s="48">
        <f>VLOOKUP($A6,'Página7'!$A$1:$AA$27,COLUMN(),TRUE)</f>
        <v>0</v>
      </c>
      <c r="T6" s="48">
        <f>VLOOKUP($A6,'Página7'!$A$1:$AA$27,COLUMN(),TRUE)</f>
        <v>13422.61</v>
      </c>
      <c r="U6" s="48">
        <f>VLOOKUP($A6,'Página7'!$A$1:$AA$27,COLUMN(),TRUE)</f>
        <v>0</v>
      </c>
      <c r="V6" s="48">
        <f>VLOOKUP($A6,'Página7'!$A$1:$AA$27,COLUMN(),TRUE)</f>
        <v>15398.418</v>
      </c>
      <c r="W6" s="48">
        <f>VLOOKUP($A6,'Página7'!$A$1:$AA$27,COLUMN(),TRUE)</f>
        <v>0</v>
      </c>
      <c r="X6" s="48">
        <f>VLOOKUP($A6,'Página7'!$A$1:$AA$27,COLUMN(),TRUE)</f>
        <v>15398.3745</v>
      </c>
      <c r="Y6" s="48">
        <f>VLOOKUP($A6,'Página7'!$A$1:$AA$27,COLUMN(),TRUE)</f>
        <v>0</v>
      </c>
      <c r="Z6" s="48">
        <f>VLOOKUP($A6,'Página7'!$A$1:$AA$27,COLUMN(),TRUE)</f>
        <v>9530.297</v>
      </c>
      <c r="AA6" s="48">
        <f>VLOOKUP($A6,'Página7'!$A$1:$AA$27,COLUMN(),TRUE)</f>
        <v>0</v>
      </c>
    </row>
    <row r="7">
      <c r="A7" s="34">
        <v>42522.0</v>
      </c>
      <c r="B7" s="48">
        <f>ROUND(IF(MONTH($A7)=12,2.333,1)*VLOOKUP($A7,'Página7'!$A$1:$AA$27,COLUMN(),TRUE),2)</f>
        <v>33763</v>
      </c>
      <c r="C7" s="48">
        <f t="shared" si="1"/>
        <v>22516.94</v>
      </c>
      <c r="D7" s="48">
        <f>ROUND(IF(MONTH($A7)=12,2.333,1)*VLOOKUP($A7,'Página7'!$A$1:$AA$27,COLUMN(),TRUE),2)</f>
        <v>22805</v>
      </c>
      <c r="E7" s="48">
        <f t="shared" si="2"/>
        <v>22516.88</v>
      </c>
      <c r="F7" s="48">
        <f t="shared" si="3"/>
        <v>13422.61</v>
      </c>
      <c r="G7" s="48">
        <f>ROUND(IF(MONTH($A7)=12,2.333,1)*VLOOKUP($A7,'Página7'!$A$1:$AA$27,COLUMN(),TRUE),2)</f>
        <v>21391.1</v>
      </c>
      <c r="H7" s="48">
        <f>ROUND(IF(MONTH($A7)=12,2.333,1)*VLOOKUP($A7,'Página7'!$A$1:$AA$27,COLUMN(),TRUE),2)</f>
        <v>9780.92</v>
      </c>
      <c r="I7" s="48">
        <f>ROUND(IF(MONTH($A7)=12,2.333,1)*VLOOKUP($A7,'Página7'!$A$1:$AA$27,COLUMN(),TRUE),2)</f>
        <v>22654.94</v>
      </c>
      <c r="J7" s="48">
        <f t="shared" si="4"/>
        <v>15398.42</v>
      </c>
      <c r="K7" s="48">
        <f>ROUND(IF(MONTH($A7)=12,2.333,1)*VLOOKUP($A7,'Página7'!$A$1:$AA$27,COLUMN(),TRUE),2)</f>
        <v>15584.29</v>
      </c>
      <c r="L7" s="48">
        <f t="shared" si="5"/>
        <v>15398.37</v>
      </c>
      <c r="M7" s="48">
        <f t="shared" si="6"/>
        <v>9530.3</v>
      </c>
      <c r="N7" s="48">
        <f>ROUND(IF(MONTH($A7)=12,2.333,1)*VLOOKUP($A7,'Página7'!$A$1:$AA$27,COLUMN(),TRUE),2)</f>
        <v>14671.97</v>
      </c>
      <c r="O7" s="48">
        <f>ROUND(IF(MONTH($A7)=12,2.333,1)*VLOOKUP($A7,'Página7'!$A$1:$AA$27,COLUMN(),TRUE),2)</f>
        <v>7180.5</v>
      </c>
      <c r="P7" s="48">
        <f>VLOOKUP($A7,'Página7'!$A$1:$AA$27,COLUMN(),TRUE)</f>
        <v>22516.94</v>
      </c>
      <c r="Q7" s="48">
        <f>VLOOKUP($A7,'Página7'!$A$1:$AA$27,COLUMN(),TRUE)</f>
        <v>0</v>
      </c>
      <c r="R7" s="48">
        <f>VLOOKUP($A7,'Página7'!$A$1:$AA$27,COLUMN(),TRUE)</f>
        <v>22516.88</v>
      </c>
      <c r="S7" s="48">
        <f>VLOOKUP($A7,'Página7'!$A$1:$AA$27,COLUMN(),TRUE)</f>
        <v>0</v>
      </c>
      <c r="T7" s="48">
        <f>VLOOKUP($A7,'Página7'!$A$1:$AA$27,COLUMN(),TRUE)</f>
        <v>13422.61</v>
      </c>
      <c r="U7" s="48">
        <f>VLOOKUP($A7,'Página7'!$A$1:$AA$27,COLUMN(),TRUE)</f>
        <v>0</v>
      </c>
      <c r="V7" s="48">
        <f>VLOOKUP($A7,'Página7'!$A$1:$AA$27,COLUMN(),TRUE)</f>
        <v>15398.418</v>
      </c>
      <c r="W7" s="48">
        <f>VLOOKUP($A7,'Página7'!$A$1:$AA$27,COLUMN(),TRUE)</f>
        <v>0</v>
      </c>
      <c r="X7" s="48">
        <f>VLOOKUP($A7,'Página7'!$A$1:$AA$27,COLUMN(),TRUE)</f>
        <v>15398.3745</v>
      </c>
      <c r="Y7" s="48">
        <f>VLOOKUP($A7,'Página7'!$A$1:$AA$27,COLUMN(),TRUE)</f>
        <v>0</v>
      </c>
      <c r="Z7" s="48">
        <f>VLOOKUP($A7,'Página7'!$A$1:$AA$27,COLUMN(),TRUE)</f>
        <v>9530.297</v>
      </c>
      <c r="AA7" s="48">
        <f>VLOOKUP($A7,'Página7'!$A$1:$AA$27,COLUMN(),TRUE)</f>
        <v>0</v>
      </c>
    </row>
    <row r="8">
      <c r="A8" s="34">
        <v>42552.0</v>
      </c>
      <c r="B8" s="48">
        <f>ROUND(IF(MONTH($A8)=12,2.333,1)*VLOOKUP($A8,'Página7'!$A$1:$AA$27,COLUMN(),TRUE),2)</f>
        <v>33763</v>
      </c>
      <c r="C8" s="48">
        <f t="shared" si="1"/>
        <v>22516.94</v>
      </c>
      <c r="D8" s="48">
        <f>ROUND(IF(MONTH($A8)=12,2.333,1)*VLOOKUP($A8,'Página7'!$A$1:$AA$27,COLUMN(),TRUE),2)</f>
        <v>22805</v>
      </c>
      <c r="E8" s="48">
        <f t="shared" si="2"/>
        <v>22516.88</v>
      </c>
      <c r="F8" s="48">
        <f t="shared" si="3"/>
        <v>13422.61</v>
      </c>
      <c r="G8" s="48">
        <f>ROUND(IF(MONTH($A8)=12,2.333,1)*VLOOKUP($A8,'Página7'!$A$1:$AA$27,COLUMN(),TRUE),2)</f>
        <v>21391.1</v>
      </c>
      <c r="H8" s="48">
        <f>ROUND(IF(MONTH($A8)=12,2.333,1)*VLOOKUP($A8,'Página7'!$A$1:$AA$27,COLUMN(),TRUE),2)</f>
        <v>9780.92</v>
      </c>
      <c r="I8" s="48">
        <f>ROUND(IF(MONTH($A8)=12,2.333,1)*VLOOKUP($A8,'Página7'!$A$1:$AA$27,COLUMN(),TRUE),2)</f>
        <v>22654.94</v>
      </c>
      <c r="J8" s="48">
        <f t="shared" si="4"/>
        <v>15398.42</v>
      </c>
      <c r="K8" s="48">
        <f>ROUND(IF(MONTH($A8)=12,2.333,1)*VLOOKUP($A8,'Página7'!$A$1:$AA$27,COLUMN(),TRUE),2)</f>
        <v>15584.29</v>
      </c>
      <c r="L8" s="48">
        <f t="shared" si="5"/>
        <v>15398.37</v>
      </c>
      <c r="M8" s="48">
        <f t="shared" si="6"/>
        <v>9530.3</v>
      </c>
      <c r="N8" s="48">
        <f>ROUND(IF(MONTH($A8)=12,2.333,1)*VLOOKUP($A8,'Página7'!$A$1:$AA$27,COLUMN(),TRUE),2)</f>
        <v>14671.97</v>
      </c>
      <c r="O8" s="48">
        <f>ROUND(IF(MONTH($A8)=12,2.333,1)*VLOOKUP($A8,'Página7'!$A$1:$AA$27,COLUMN(),TRUE),2)</f>
        <v>7180.5</v>
      </c>
      <c r="P8" s="48">
        <f>VLOOKUP($A8,'Página7'!$A$1:$AA$27,COLUMN(),TRUE)</f>
        <v>22516.94</v>
      </c>
      <c r="Q8" s="48">
        <f>VLOOKUP($A8,'Página7'!$A$1:$AA$27,COLUMN(),TRUE)</f>
        <v>0</v>
      </c>
      <c r="R8" s="48">
        <f>VLOOKUP($A8,'Página7'!$A$1:$AA$27,COLUMN(),TRUE)</f>
        <v>22516.88</v>
      </c>
      <c r="S8" s="48">
        <f>VLOOKUP($A8,'Página7'!$A$1:$AA$27,COLUMN(),TRUE)</f>
        <v>0</v>
      </c>
      <c r="T8" s="48">
        <f>VLOOKUP($A8,'Página7'!$A$1:$AA$27,COLUMN(),TRUE)</f>
        <v>13422.61</v>
      </c>
      <c r="U8" s="48">
        <f>VLOOKUP($A8,'Página7'!$A$1:$AA$27,COLUMN(),TRUE)</f>
        <v>0</v>
      </c>
      <c r="V8" s="48">
        <f>VLOOKUP($A8,'Página7'!$A$1:$AA$27,COLUMN(),TRUE)</f>
        <v>15398.418</v>
      </c>
      <c r="W8" s="48">
        <f>VLOOKUP($A8,'Página7'!$A$1:$AA$27,COLUMN(),TRUE)</f>
        <v>0</v>
      </c>
      <c r="X8" s="48">
        <f>VLOOKUP($A8,'Página7'!$A$1:$AA$27,COLUMN(),TRUE)</f>
        <v>15398.3745</v>
      </c>
      <c r="Y8" s="48">
        <f>VLOOKUP($A8,'Página7'!$A$1:$AA$27,COLUMN(),TRUE)</f>
        <v>0</v>
      </c>
      <c r="Z8" s="48">
        <f>VLOOKUP($A8,'Página7'!$A$1:$AA$27,COLUMN(),TRUE)</f>
        <v>9530.297</v>
      </c>
      <c r="AA8" s="48">
        <f>VLOOKUP($A8,'Página7'!$A$1:$AA$27,COLUMN(),TRUE)</f>
        <v>0</v>
      </c>
    </row>
    <row r="9">
      <c r="A9" s="34">
        <v>42583.0</v>
      </c>
      <c r="B9" s="48">
        <f>ROUND(IF(MONTH($A9)=12,2.333,1)*VLOOKUP($A9,'Página7'!$A$1:$AA$27,COLUMN(),TRUE),2)</f>
        <v>33763</v>
      </c>
      <c r="C9" s="48">
        <f t="shared" si="1"/>
        <v>26455.37</v>
      </c>
      <c r="D9" s="48">
        <f>ROUND(IF(MONTH($A9)=12,2.333,1)*VLOOKUP($A9,'Página7'!$A$1:$AA$27,COLUMN(),TRUE),2)</f>
        <v>22805</v>
      </c>
      <c r="E9" s="48">
        <f t="shared" si="2"/>
        <v>22516.88</v>
      </c>
      <c r="F9" s="48">
        <f t="shared" si="3"/>
        <v>13422.61</v>
      </c>
      <c r="G9" s="48">
        <f>ROUND(IF(MONTH($A9)=12,2.333,1)*VLOOKUP($A9,'Página7'!$A$1:$AA$27,COLUMN(),TRUE),2)</f>
        <v>22567.61</v>
      </c>
      <c r="H9" s="48">
        <f>ROUND(IF(MONTH($A9)=12,2.333,1)*VLOOKUP($A9,'Página7'!$A$1:$AA$27,COLUMN(),TRUE),2)</f>
        <v>10318.87</v>
      </c>
      <c r="I9" s="48">
        <f>ROUND(IF(MONTH($A9)=12,2.333,1)*VLOOKUP($A9,'Página7'!$A$1:$AA$27,COLUMN(),TRUE),2)</f>
        <v>22654.94</v>
      </c>
      <c r="J9" s="48">
        <f t="shared" si="4"/>
        <v>18155.01</v>
      </c>
      <c r="K9" s="48">
        <f>ROUND(IF(MONTH($A9)=12,2.333,1)*VLOOKUP($A9,'Página7'!$A$1:$AA$27,COLUMN(),TRUE),2)</f>
        <v>15584.29</v>
      </c>
      <c r="L9" s="48">
        <f t="shared" si="5"/>
        <v>15398.37</v>
      </c>
      <c r="M9" s="48">
        <f t="shared" si="6"/>
        <v>9530.3</v>
      </c>
      <c r="N9" s="48">
        <f>ROUND(IF(MONTH($A9)=12,2.333,1)*VLOOKUP($A9,'Página7'!$A$1:$AA$27,COLUMN(),TRUE),2)</f>
        <v>15431.11</v>
      </c>
      <c r="O9" s="48">
        <f>ROUND(IF(MONTH($A9)=12,2.333,1)*VLOOKUP($A9,'Página7'!$A$1:$AA$27,COLUMN(),TRUE),2)</f>
        <v>7527.61</v>
      </c>
      <c r="P9" s="48">
        <f>VLOOKUP($A9,'Página7'!$A$1:$AA$27,COLUMN(),TRUE)</f>
        <v>23755.37</v>
      </c>
      <c r="Q9" s="48">
        <f>VLOOKUP($A9,'Página7'!$A$1:$AA$27,COLUMN(),TRUE)</f>
        <v>3000</v>
      </c>
      <c r="R9" s="48">
        <f>VLOOKUP($A9,'Página7'!$A$1:$AA$27,COLUMN(),TRUE)</f>
        <v>22516.88</v>
      </c>
      <c r="S9" s="48">
        <f>VLOOKUP($A9,'Página7'!$A$1:$AA$27,COLUMN(),TRUE)</f>
        <v>0</v>
      </c>
      <c r="T9" s="48">
        <f>VLOOKUP($A9,'Página7'!$A$1:$AA$27,COLUMN(),TRUE)</f>
        <v>13422.61</v>
      </c>
      <c r="U9" s="48">
        <f>VLOOKUP($A9,'Página7'!$A$1:$AA$27,COLUMN(),TRUE)</f>
        <v>0</v>
      </c>
      <c r="V9" s="48">
        <f>VLOOKUP($A9,'Página7'!$A$1:$AA$27,COLUMN(),TRUE)</f>
        <v>16197.513</v>
      </c>
      <c r="W9" s="48">
        <f>VLOOKUP($A9,'Página7'!$A$1:$AA$27,COLUMN(),TRUE)</f>
        <v>2175</v>
      </c>
      <c r="X9" s="48">
        <f>VLOOKUP($A9,'Página7'!$A$1:$AA$27,COLUMN(),TRUE)</f>
        <v>15398.3745</v>
      </c>
      <c r="Y9" s="48">
        <f>VLOOKUP($A9,'Página7'!$A$1:$AA$27,COLUMN(),TRUE)</f>
        <v>0</v>
      </c>
      <c r="Z9" s="48">
        <f>VLOOKUP($A9,'Página7'!$A$1:$AA$27,COLUMN(),TRUE)</f>
        <v>9530.297</v>
      </c>
      <c r="AA9" s="48">
        <f>VLOOKUP($A9,'Página7'!$A$1:$AA$27,COLUMN(),TRUE)</f>
        <v>0</v>
      </c>
    </row>
    <row r="10">
      <c r="A10" s="34">
        <v>42614.0</v>
      </c>
      <c r="B10" s="48">
        <f>ROUND(IF(MONTH($A10)=12,2.333,1)*VLOOKUP($A10,'Página7'!$A$1:$AA$27,COLUMN(),TRUE),2)</f>
        <v>33763</v>
      </c>
      <c r="C10" s="48">
        <f t="shared" si="1"/>
        <v>26455.37</v>
      </c>
      <c r="D10" s="48">
        <f>ROUND(IF(MONTH($A10)=12,2.333,1)*VLOOKUP($A10,'Página7'!$A$1:$AA$27,COLUMN(),TRUE),2)</f>
        <v>22805</v>
      </c>
      <c r="E10" s="48">
        <f t="shared" si="2"/>
        <v>25216.88</v>
      </c>
      <c r="F10" s="48">
        <f t="shared" si="3"/>
        <v>15042.61</v>
      </c>
      <c r="G10" s="48">
        <f>ROUND(IF(MONTH($A10)=12,2.333,1)*VLOOKUP($A10,'Página7'!$A$1:$AA$27,COLUMN(),TRUE),2)</f>
        <v>22567.61</v>
      </c>
      <c r="H10" s="48">
        <f>ROUND(IF(MONTH($A10)=12,2.333,1)*VLOOKUP($A10,'Página7'!$A$1:$AA$27,COLUMN(),TRUE),2)</f>
        <v>10318.87</v>
      </c>
      <c r="I10" s="48">
        <f>ROUND(IF(MONTH($A10)=12,2.333,1)*VLOOKUP($A10,'Página7'!$A$1:$AA$27,COLUMN(),TRUE),2)</f>
        <v>22654.94</v>
      </c>
      <c r="J10" s="48">
        <f t="shared" si="4"/>
        <v>18155.01</v>
      </c>
      <c r="K10" s="48">
        <f>ROUND(IF(MONTH($A10)=12,2.333,1)*VLOOKUP($A10,'Página7'!$A$1:$AA$27,COLUMN(),TRUE),2)</f>
        <v>15584.29</v>
      </c>
      <c r="L10" s="48">
        <f t="shared" si="5"/>
        <v>17355.87</v>
      </c>
      <c r="M10" s="48">
        <f t="shared" si="6"/>
        <v>10704.8</v>
      </c>
      <c r="N10" s="48">
        <f>ROUND(IF(MONTH($A10)=12,2.333,1)*VLOOKUP($A10,'Página7'!$A$1:$AA$27,COLUMN(),TRUE),2)</f>
        <v>15431.11</v>
      </c>
      <c r="O10" s="48">
        <f>ROUND(IF(MONTH($A10)=12,2.333,1)*VLOOKUP($A10,'Página7'!$A$1:$AA$27,COLUMN(),TRUE),2)</f>
        <v>7527.61</v>
      </c>
      <c r="P10" s="48">
        <f>VLOOKUP($A10,'Página7'!$A$1:$AA$27,COLUMN(),TRUE)</f>
        <v>23755.37</v>
      </c>
      <c r="Q10" s="48">
        <f>VLOOKUP($A10,'Página7'!$A$1:$AA$27,COLUMN(),TRUE)</f>
        <v>3000</v>
      </c>
      <c r="R10" s="48">
        <f>VLOOKUP($A10,'Página7'!$A$1:$AA$27,COLUMN(),TRUE)</f>
        <v>22516.88</v>
      </c>
      <c r="S10" s="48">
        <f>VLOOKUP($A10,'Página7'!$A$1:$AA$27,COLUMN(),TRUE)</f>
        <v>3000</v>
      </c>
      <c r="T10" s="48">
        <f>VLOOKUP($A10,'Página7'!$A$1:$AA$27,COLUMN(),TRUE)</f>
        <v>13422.61</v>
      </c>
      <c r="U10" s="48">
        <f>VLOOKUP($A10,'Página7'!$A$1:$AA$27,COLUMN(),TRUE)</f>
        <v>1800</v>
      </c>
      <c r="V10" s="48">
        <f>VLOOKUP($A10,'Página7'!$A$1:$AA$27,COLUMN(),TRUE)</f>
        <v>16197.513</v>
      </c>
      <c r="W10" s="48">
        <f>VLOOKUP($A10,'Página7'!$A$1:$AA$27,COLUMN(),TRUE)</f>
        <v>2175</v>
      </c>
      <c r="X10" s="48">
        <f>VLOOKUP($A10,'Página7'!$A$1:$AA$27,COLUMN(),TRUE)</f>
        <v>15398.3745</v>
      </c>
      <c r="Y10" s="48">
        <f>VLOOKUP($A10,'Página7'!$A$1:$AA$27,COLUMN(),TRUE)</f>
        <v>2175</v>
      </c>
      <c r="Z10" s="48">
        <f>VLOOKUP($A10,'Página7'!$A$1:$AA$27,COLUMN(),TRUE)</f>
        <v>9530.297</v>
      </c>
      <c r="AA10" s="48">
        <f>VLOOKUP($A10,'Página7'!$A$1:$AA$27,COLUMN(),TRUE)</f>
        <v>1305</v>
      </c>
    </row>
    <row r="11">
      <c r="A11" s="34">
        <v>42644.0</v>
      </c>
      <c r="B11" s="48">
        <f>ROUND(IF(MONTH($A11)=12,2.333,1)*VLOOKUP($A11,'Página7'!$A$1:$AA$27,COLUMN(),TRUE),2)</f>
        <v>33763</v>
      </c>
      <c r="C11" s="48">
        <f t="shared" si="1"/>
        <v>26455.37</v>
      </c>
      <c r="D11" s="48">
        <f>ROUND(IF(MONTH($A11)=12,2.333,1)*VLOOKUP($A11,'Página7'!$A$1:$AA$27,COLUMN(),TRUE),2)</f>
        <v>22805</v>
      </c>
      <c r="E11" s="48">
        <f t="shared" si="2"/>
        <v>25216.88</v>
      </c>
      <c r="F11" s="48">
        <f t="shared" si="3"/>
        <v>15042.61</v>
      </c>
      <c r="G11" s="48">
        <f>ROUND(IF(MONTH($A11)=12,2.333,1)*VLOOKUP($A11,'Página7'!$A$1:$AA$27,COLUMN(),TRUE),2)</f>
        <v>22567.61</v>
      </c>
      <c r="H11" s="48">
        <f>ROUND(IF(MONTH($A11)=12,2.333,1)*VLOOKUP($A11,'Página7'!$A$1:$AA$27,COLUMN(),TRUE),2)</f>
        <v>10318.87</v>
      </c>
      <c r="I11" s="48">
        <f>ROUND(IF(MONTH($A11)=12,2.333,1)*VLOOKUP($A11,'Página7'!$A$1:$AA$27,COLUMN(),TRUE),2)</f>
        <v>22654.94</v>
      </c>
      <c r="J11" s="48">
        <f t="shared" si="4"/>
        <v>18155.01</v>
      </c>
      <c r="K11" s="48">
        <f>ROUND(IF(MONTH($A11)=12,2.333,1)*VLOOKUP($A11,'Página7'!$A$1:$AA$27,COLUMN(),TRUE),2)</f>
        <v>15584.29</v>
      </c>
      <c r="L11" s="48">
        <f t="shared" si="5"/>
        <v>17355.87</v>
      </c>
      <c r="M11" s="48">
        <f t="shared" si="6"/>
        <v>10704.8</v>
      </c>
      <c r="N11" s="48">
        <f>ROUND(IF(MONTH($A11)=12,2.333,1)*VLOOKUP($A11,'Página7'!$A$1:$AA$27,COLUMN(),TRUE),2)</f>
        <v>15431.11</v>
      </c>
      <c r="O11" s="48">
        <f>ROUND(IF(MONTH($A11)=12,2.333,1)*VLOOKUP($A11,'Página7'!$A$1:$AA$27,COLUMN(),TRUE),2)</f>
        <v>7527.61</v>
      </c>
      <c r="P11" s="48">
        <f>VLOOKUP($A11,'Página7'!$A$1:$AA$27,COLUMN(),TRUE)</f>
        <v>23755.37</v>
      </c>
      <c r="Q11" s="48">
        <f>VLOOKUP($A11,'Página7'!$A$1:$AA$27,COLUMN(),TRUE)</f>
        <v>3000</v>
      </c>
      <c r="R11" s="48">
        <f>VLOOKUP($A11,'Página7'!$A$1:$AA$27,COLUMN(),TRUE)</f>
        <v>22516.88</v>
      </c>
      <c r="S11" s="48">
        <f>VLOOKUP($A11,'Página7'!$A$1:$AA$27,COLUMN(),TRUE)</f>
        <v>3000</v>
      </c>
      <c r="T11" s="48">
        <f>VLOOKUP($A11,'Página7'!$A$1:$AA$27,COLUMN(),TRUE)</f>
        <v>13422.61</v>
      </c>
      <c r="U11" s="48">
        <f>VLOOKUP($A11,'Página7'!$A$1:$AA$27,COLUMN(),TRUE)</f>
        <v>1800</v>
      </c>
      <c r="V11" s="48">
        <f>VLOOKUP($A11,'Página7'!$A$1:$AA$27,COLUMN(),TRUE)</f>
        <v>16197.513</v>
      </c>
      <c r="W11" s="48">
        <f>VLOOKUP($A11,'Página7'!$A$1:$AA$27,COLUMN(),TRUE)</f>
        <v>2175</v>
      </c>
      <c r="X11" s="48">
        <f>VLOOKUP($A11,'Página7'!$A$1:$AA$27,COLUMN(),TRUE)</f>
        <v>15398.3745</v>
      </c>
      <c r="Y11" s="48">
        <f>VLOOKUP($A11,'Página7'!$A$1:$AA$27,COLUMN(),TRUE)</f>
        <v>2175</v>
      </c>
      <c r="Z11" s="48">
        <f>VLOOKUP($A11,'Página7'!$A$1:$AA$27,COLUMN(),TRUE)</f>
        <v>9530.297</v>
      </c>
      <c r="AA11" s="48">
        <f>VLOOKUP($A11,'Página7'!$A$1:$AA$27,COLUMN(),TRUE)</f>
        <v>1305</v>
      </c>
    </row>
    <row r="12">
      <c r="A12" s="34">
        <v>42675.0</v>
      </c>
      <c r="B12" s="48">
        <f>ROUND(IF(MONTH($A12)=12,2.333,1)*VLOOKUP($A12,'Página7'!$A$1:$AA$27,COLUMN(),TRUE),2)</f>
        <v>33763</v>
      </c>
      <c r="C12" s="48">
        <f t="shared" si="1"/>
        <v>26455.37</v>
      </c>
      <c r="D12" s="48">
        <f>ROUND(IF(MONTH($A12)=12,2.333,1)*VLOOKUP($A12,'Página7'!$A$1:$AA$27,COLUMN(),TRUE),2)</f>
        <v>22805</v>
      </c>
      <c r="E12" s="48">
        <f t="shared" si="2"/>
        <v>25216.88</v>
      </c>
      <c r="F12" s="48">
        <f t="shared" si="3"/>
        <v>15042.61</v>
      </c>
      <c r="G12" s="48">
        <f>ROUND(IF(MONTH($A12)=12,2.333,1)*VLOOKUP($A12,'Página7'!$A$1:$AA$27,COLUMN(),TRUE),2)</f>
        <v>22567.61</v>
      </c>
      <c r="H12" s="48">
        <f>ROUND(IF(MONTH($A12)=12,2.333,1)*VLOOKUP($A12,'Página7'!$A$1:$AA$27,COLUMN(),TRUE),2)</f>
        <v>10318.87</v>
      </c>
      <c r="I12" s="48">
        <f>ROUND(IF(MONTH($A12)=12,2.333,1)*VLOOKUP($A12,'Página7'!$A$1:$AA$27,COLUMN(),TRUE),2)</f>
        <v>22654.94</v>
      </c>
      <c r="J12" s="48">
        <f t="shared" si="4"/>
        <v>18155.01</v>
      </c>
      <c r="K12" s="48">
        <f>ROUND(IF(MONTH($A12)=12,2.333,1)*VLOOKUP($A12,'Página7'!$A$1:$AA$27,COLUMN(),TRUE),2)</f>
        <v>15584.29</v>
      </c>
      <c r="L12" s="48">
        <f t="shared" si="5"/>
        <v>17355.87</v>
      </c>
      <c r="M12" s="48">
        <f t="shared" si="6"/>
        <v>10704.8</v>
      </c>
      <c r="N12" s="48">
        <f>ROUND(IF(MONTH($A12)=12,2.333,1)*VLOOKUP($A12,'Página7'!$A$1:$AA$27,COLUMN(),TRUE),2)</f>
        <v>15431.11</v>
      </c>
      <c r="O12" s="48">
        <f>ROUND(IF(MONTH($A12)=12,2.333,1)*VLOOKUP($A12,'Página7'!$A$1:$AA$27,COLUMN(),TRUE),2)</f>
        <v>7527.61</v>
      </c>
      <c r="P12" s="48">
        <f>VLOOKUP($A12,'Página7'!$A$1:$AA$27,COLUMN(),TRUE)</f>
        <v>23755.37</v>
      </c>
      <c r="Q12" s="48">
        <f>VLOOKUP($A12,'Página7'!$A$1:$AA$27,COLUMN(),TRUE)</f>
        <v>3000</v>
      </c>
      <c r="R12" s="48">
        <f>VLOOKUP($A12,'Página7'!$A$1:$AA$27,COLUMN(),TRUE)</f>
        <v>22516.88</v>
      </c>
      <c r="S12" s="48">
        <f>VLOOKUP($A12,'Página7'!$A$1:$AA$27,COLUMN(),TRUE)</f>
        <v>3000</v>
      </c>
      <c r="T12" s="48">
        <f>VLOOKUP($A12,'Página7'!$A$1:$AA$27,COLUMN(),TRUE)</f>
        <v>13422.61</v>
      </c>
      <c r="U12" s="48">
        <f>VLOOKUP($A12,'Página7'!$A$1:$AA$27,COLUMN(),TRUE)</f>
        <v>1800</v>
      </c>
      <c r="V12" s="48">
        <f>VLOOKUP($A12,'Página7'!$A$1:$AA$27,COLUMN(),TRUE)</f>
        <v>16197.513</v>
      </c>
      <c r="W12" s="48">
        <f>VLOOKUP($A12,'Página7'!$A$1:$AA$27,COLUMN(),TRUE)</f>
        <v>2175</v>
      </c>
      <c r="X12" s="48">
        <f>VLOOKUP($A12,'Página7'!$A$1:$AA$27,COLUMN(),TRUE)</f>
        <v>15398.3745</v>
      </c>
      <c r="Y12" s="48">
        <f>VLOOKUP($A12,'Página7'!$A$1:$AA$27,COLUMN(),TRUE)</f>
        <v>2175</v>
      </c>
      <c r="Z12" s="48">
        <f>VLOOKUP($A12,'Página7'!$A$1:$AA$27,COLUMN(),TRUE)</f>
        <v>9530.297</v>
      </c>
      <c r="AA12" s="48">
        <f>VLOOKUP($A12,'Página7'!$A$1:$AA$27,COLUMN(),TRUE)</f>
        <v>1305</v>
      </c>
    </row>
    <row r="13">
      <c r="A13" s="34">
        <v>42705.0</v>
      </c>
      <c r="B13" s="48">
        <f>ROUND(IF(MONTH($A13)=12,2.333,1)*VLOOKUP($A13,'Página7'!$A$1:$AA$27,COLUMN(),TRUE),2)</f>
        <v>78769.08</v>
      </c>
      <c r="C13" s="48">
        <f t="shared" si="1"/>
        <v>61720.38</v>
      </c>
      <c r="D13" s="48">
        <f>ROUND(IF(MONTH($A13)=12,2.333,1)*VLOOKUP($A13,'Página7'!$A$1:$AA$27,COLUMN(),TRUE),2)</f>
        <v>53204.07</v>
      </c>
      <c r="E13" s="48">
        <f t="shared" si="2"/>
        <v>58830.98</v>
      </c>
      <c r="F13" s="48">
        <f t="shared" si="3"/>
        <v>35094.41</v>
      </c>
      <c r="G13" s="48">
        <f>ROUND(IF(MONTH($A13)=12,2.333,1)*VLOOKUP($A13,'Página7'!$A$1:$AA$27,COLUMN(),TRUE),2)</f>
        <v>52650.23</v>
      </c>
      <c r="H13" s="48">
        <f>ROUND(IF(MONTH($A13)=12,2.333,1)*VLOOKUP($A13,'Página7'!$A$1:$AA$27,COLUMN(),TRUE),2)</f>
        <v>24073.92</v>
      </c>
      <c r="I13" s="48">
        <f>ROUND(IF(MONTH($A13)=12,2.333,1)*VLOOKUP($A13,'Página7'!$A$1:$AA$27,COLUMN(),TRUE),2)</f>
        <v>52853.97</v>
      </c>
      <c r="J13" s="48">
        <f t="shared" si="4"/>
        <v>42355.65</v>
      </c>
      <c r="K13" s="48">
        <f>ROUND(IF(MONTH($A13)=12,2.333,1)*VLOOKUP($A13,'Página7'!$A$1:$AA$27,COLUMN(),TRUE),2)</f>
        <v>36358.14</v>
      </c>
      <c r="L13" s="48">
        <f t="shared" si="5"/>
        <v>40491.26</v>
      </c>
      <c r="M13" s="48">
        <f t="shared" si="6"/>
        <v>24974.29</v>
      </c>
      <c r="N13" s="48">
        <f>ROUND(IF(MONTH($A13)=12,2.333,1)*VLOOKUP($A13,'Página7'!$A$1:$AA$27,COLUMN(),TRUE),2)</f>
        <v>36000.78</v>
      </c>
      <c r="O13" s="48">
        <f>ROUND(IF(MONTH($A13)=12,2.333,1)*VLOOKUP($A13,'Página7'!$A$1:$AA$27,COLUMN(),TRUE),2)</f>
        <v>17561.91</v>
      </c>
      <c r="P13" s="48">
        <f>VLOOKUP($A13,'Página7'!$A$1:$AA$27,COLUMN(),TRUE)</f>
        <v>23755.37</v>
      </c>
      <c r="Q13" s="48">
        <f>VLOOKUP($A13,'Página7'!$A$1:$AA$27,COLUMN(),TRUE)</f>
        <v>3000</v>
      </c>
      <c r="R13" s="48">
        <f>VLOOKUP($A13,'Página7'!$A$1:$AA$27,COLUMN(),TRUE)</f>
        <v>22516.88</v>
      </c>
      <c r="S13" s="48">
        <f>VLOOKUP($A13,'Página7'!$A$1:$AA$27,COLUMN(),TRUE)</f>
        <v>3000</v>
      </c>
      <c r="T13" s="48">
        <f>VLOOKUP($A13,'Página7'!$A$1:$AA$27,COLUMN(),TRUE)</f>
        <v>13422.61</v>
      </c>
      <c r="U13" s="48">
        <f>VLOOKUP($A13,'Página7'!$A$1:$AA$27,COLUMN(),TRUE)</f>
        <v>1800</v>
      </c>
      <c r="V13" s="48">
        <f>VLOOKUP($A13,'Página7'!$A$1:$AA$27,COLUMN(),TRUE)</f>
        <v>16197.513</v>
      </c>
      <c r="W13" s="48">
        <f>VLOOKUP($A13,'Página7'!$A$1:$AA$27,COLUMN(),TRUE)</f>
        <v>2175</v>
      </c>
      <c r="X13" s="48">
        <f>VLOOKUP($A13,'Página7'!$A$1:$AA$27,COLUMN(),TRUE)</f>
        <v>15398.3745</v>
      </c>
      <c r="Y13" s="48">
        <f>VLOOKUP($A13,'Página7'!$A$1:$AA$27,COLUMN(),TRUE)</f>
        <v>2175</v>
      </c>
      <c r="Z13" s="48">
        <f>VLOOKUP($A13,'Página7'!$A$1:$AA$27,COLUMN(),TRUE)</f>
        <v>9530.297</v>
      </c>
      <c r="AA13" s="48">
        <f>VLOOKUP($A13,'Página7'!$A$1:$AA$27,COLUMN(),TRUE)</f>
        <v>1305</v>
      </c>
    </row>
    <row r="14">
      <c r="A14" s="34">
        <v>42736.0</v>
      </c>
      <c r="B14" s="48">
        <f>ROUND(IF(MONTH($A14)=12,2.333,1)*VLOOKUP($A14,'Página7'!$A$1:$AA$27,COLUMN(),TRUE),2)</f>
        <v>33763</v>
      </c>
      <c r="C14" s="48">
        <f t="shared" si="1"/>
        <v>28239.39</v>
      </c>
      <c r="D14" s="48">
        <f>ROUND(IF(MONTH($A14)=12,2.333,1)*VLOOKUP($A14,'Página7'!$A$1:$AA$27,COLUMN(),TRUE),2)</f>
        <v>28262.24</v>
      </c>
      <c r="E14" s="48">
        <f t="shared" si="2"/>
        <v>27643.07</v>
      </c>
      <c r="F14" s="48">
        <f t="shared" si="3"/>
        <v>16488.9</v>
      </c>
      <c r="G14" s="48">
        <f>ROUND(IF(MONTH($A14)=12,2.333,1)*VLOOKUP($A14,'Página7'!$A$1:$AA$27,COLUMN(),TRUE),2)</f>
        <v>24142.66</v>
      </c>
      <c r="H14" s="48">
        <f>ROUND(IF(MONTH($A14)=12,2.333,1)*VLOOKUP($A14,'Página7'!$A$1:$AA$27,COLUMN(),TRUE),2)</f>
        <v>11039.05</v>
      </c>
      <c r="I14" s="48">
        <f>ROUND(IF(MONTH($A14)=12,2.333,1)*VLOOKUP($A14,'Página7'!$A$1:$AA$27,COLUMN(),TRUE),2)</f>
        <v>22654.94</v>
      </c>
      <c r="J14" s="48">
        <f t="shared" si="4"/>
        <v>19353.7</v>
      </c>
      <c r="K14" s="48">
        <f>ROUND(IF(MONTH($A14)=12,2.333,1)*VLOOKUP($A14,'Página7'!$A$1:$AA$27,COLUMN(),TRUE),2)</f>
        <v>19105.57</v>
      </c>
      <c r="L14" s="48">
        <f t="shared" si="5"/>
        <v>18921.37</v>
      </c>
      <c r="M14" s="48">
        <f t="shared" si="6"/>
        <v>11638.02</v>
      </c>
      <c r="N14" s="48">
        <f>ROUND(IF(MONTH($A14)=12,2.333,1)*VLOOKUP($A14,'Página7'!$A$1:$AA$27,COLUMN(),TRUE),2)</f>
        <v>16447.41</v>
      </c>
      <c r="O14" s="48">
        <f>ROUND(IF(MONTH($A14)=12,2.333,1)*VLOOKUP($A14,'Página7'!$A$1:$AA$27,COLUMN(),TRUE),2)</f>
        <v>7992.3</v>
      </c>
      <c r="P14" s="48">
        <f>VLOOKUP($A14,'Página7'!$A$1:$AA$27,COLUMN(),TRUE)</f>
        <v>24943.14</v>
      </c>
      <c r="Q14" s="48">
        <f>VLOOKUP($A14,'Página7'!$A$1:$AA$27,COLUMN(),TRUE)</f>
        <v>3662.5</v>
      </c>
      <c r="R14" s="48">
        <f>VLOOKUP($A14,'Página7'!$A$1:$AA$27,COLUMN(),TRUE)</f>
        <v>24943.07</v>
      </c>
      <c r="S14" s="48">
        <f>VLOOKUP($A14,'Página7'!$A$1:$AA$27,COLUMN(),TRUE)</f>
        <v>3000</v>
      </c>
      <c r="T14" s="48">
        <f>VLOOKUP($A14,'Página7'!$A$1:$AA$27,COLUMN(),TRUE)</f>
        <v>14868.9</v>
      </c>
      <c r="U14" s="48">
        <f>VLOOKUP($A14,'Página7'!$A$1:$AA$27,COLUMN(),TRUE)</f>
        <v>1800</v>
      </c>
      <c r="V14" s="48">
        <f>VLOOKUP($A14,'Página7'!$A$1:$AA$27,COLUMN(),TRUE)</f>
        <v>16963.91775</v>
      </c>
      <c r="W14" s="48">
        <f>VLOOKUP($A14,'Página7'!$A$1:$AA$27,COLUMN(),TRUE)</f>
        <v>2655.3125</v>
      </c>
      <c r="X14" s="48">
        <f>VLOOKUP($A14,'Página7'!$A$1:$AA$27,COLUMN(),TRUE)</f>
        <v>16963.87425</v>
      </c>
      <c r="Y14" s="48">
        <f>VLOOKUP($A14,'Página7'!$A$1:$AA$27,COLUMN(),TRUE)</f>
        <v>2175</v>
      </c>
      <c r="Z14" s="48">
        <f>VLOOKUP($A14,'Página7'!$A$1:$AA$27,COLUMN(),TRUE)</f>
        <v>10463.517</v>
      </c>
      <c r="AA14" s="48">
        <f>VLOOKUP($A14,'Página7'!$A$1:$AA$27,COLUMN(),TRUE)</f>
        <v>1305</v>
      </c>
    </row>
    <row r="15">
      <c r="A15" s="34">
        <v>42767.0</v>
      </c>
      <c r="B15" s="48">
        <f>ROUND(IF(MONTH($A15)=12,2.333,1)*VLOOKUP($A15,'Página7'!$A$1:$AA$27,COLUMN(),TRUE),2)</f>
        <v>33763</v>
      </c>
      <c r="C15" s="48">
        <f t="shared" si="1"/>
        <v>28239.39</v>
      </c>
      <c r="D15" s="48">
        <f>ROUND(IF(MONTH($A15)=12,2.333,1)*VLOOKUP($A15,'Página7'!$A$1:$AA$27,COLUMN(),TRUE),2)</f>
        <v>28262.24</v>
      </c>
      <c r="E15" s="48">
        <f t="shared" si="2"/>
        <v>27643.07</v>
      </c>
      <c r="F15" s="48">
        <f t="shared" si="3"/>
        <v>16488.9</v>
      </c>
      <c r="G15" s="48">
        <f>ROUND(IF(MONTH($A15)=12,2.333,1)*VLOOKUP($A15,'Página7'!$A$1:$AA$27,COLUMN(),TRUE),2)</f>
        <v>24142.66</v>
      </c>
      <c r="H15" s="48">
        <f>ROUND(IF(MONTH($A15)=12,2.333,1)*VLOOKUP($A15,'Página7'!$A$1:$AA$27,COLUMN(),TRUE),2)</f>
        <v>11039.05</v>
      </c>
      <c r="I15" s="48">
        <f>ROUND(IF(MONTH($A15)=12,2.333,1)*VLOOKUP($A15,'Página7'!$A$1:$AA$27,COLUMN(),TRUE),2)</f>
        <v>22654.94</v>
      </c>
      <c r="J15" s="48">
        <f t="shared" si="4"/>
        <v>19353.7</v>
      </c>
      <c r="K15" s="48">
        <f>ROUND(IF(MONTH($A15)=12,2.333,1)*VLOOKUP($A15,'Página7'!$A$1:$AA$27,COLUMN(),TRUE),2)</f>
        <v>19105.57</v>
      </c>
      <c r="L15" s="48">
        <f t="shared" si="5"/>
        <v>18921.37</v>
      </c>
      <c r="M15" s="48">
        <f t="shared" si="6"/>
        <v>11638.02</v>
      </c>
      <c r="N15" s="48">
        <f>ROUND(IF(MONTH($A15)=12,2.333,1)*VLOOKUP($A15,'Página7'!$A$1:$AA$27,COLUMN(),TRUE),2)</f>
        <v>16447.41</v>
      </c>
      <c r="O15" s="48">
        <f>ROUND(IF(MONTH($A15)=12,2.333,1)*VLOOKUP($A15,'Página7'!$A$1:$AA$27,COLUMN(),TRUE),2)</f>
        <v>7992.3</v>
      </c>
      <c r="P15" s="48">
        <f>VLOOKUP($A15,'Página7'!$A$1:$AA$27,COLUMN(),TRUE)</f>
        <v>24943.14</v>
      </c>
      <c r="Q15" s="48">
        <f>VLOOKUP($A15,'Página7'!$A$1:$AA$27,COLUMN(),TRUE)</f>
        <v>3662.5</v>
      </c>
      <c r="R15" s="48">
        <f>VLOOKUP($A15,'Página7'!$A$1:$AA$27,COLUMN(),TRUE)</f>
        <v>24943.07</v>
      </c>
      <c r="S15" s="48">
        <f>VLOOKUP($A15,'Página7'!$A$1:$AA$27,COLUMN(),TRUE)</f>
        <v>3000</v>
      </c>
      <c r="T15" s="48">
        <f>VLOOKUP($A15,'Página7'!$A$1:$AA$27,COLUMN(),TRUE)</f>
        <v>14868.9</v>
      </c>
      <c r="U15" s="48">
        <f>VLOOKUP($A15,'Página7'!$A$1:$AA$27,COLUMN(),TRUE)</f>
        <v>1800</v>
      </c>
      <c r="V15" s="48">
        <f>VLOOKUP($A15,'Página7'!$A$1:$AA$27,COLUMN(),TRUE)</f>
        <v>16963.91775</v>
      </c>
      <c r="W15" s="48">
        <f>VLOOKUP($A15,'Página7'!$A$1:$AA$27,COLUMN(),TRUE)</f>
        <v>2655.3125</v>
      </c>
      <c r="X15" s="48">
        <f>VLOOKUP($A15,'Página7'!$A$1:$AA$27,COLUMN(),TRUE)</f>
        <v>16963.87425</v>
      </c>
      <c r="Y15" s="48">
        <f>VLOOKUP($A15,'Página7'!$A$1:$AA$27,COLUMN(),TRUE)</f>
        <v>2175</v>
      </c>
      <c r="Z15" s="48">
        <f>VLOOKUP($A15,'Página7'!$A$1:$AA$27,COLUMN(),TRUE)</f>
        <v>10463.517</v>
      </c>
      <c r="AA15" s="48">
        <f>VLOOKUP($A15,'Página7'!$A$1:$AA$27,COLUMN(),TRUE)</f>
        <v>1305</v>
      </c>
    </row>
    <row r="16">
      <c r="A16" s="34">
        <v>42795.0</v>
      </c>
      <c r="B16" s="48">
        <f>ROUND(IF(MONTH($A16)=12,2.333,1)*VLOOKUP($A16,'Página7'!$A$1:$AA$27,COLUMN(),TRUE),2)</f>
        <v>33763</v>
      </c>
      <c r="C16" s="48">
        <f t="shared" si="1"/>
        <v>28239.39</v>
      </c>
      <c r="D16" s="48">
        <f>ROUND(IF(MONTH($A16)=12,2.333,1)*VLOOKUP($A16,'Página7'!$A$1:$AA$27,COLUMN(),TRUE),2)</f>
        <v>28262.24</v>
      </c>
      <c r="E16" s="48">
        <f t="shared" si="2"/>
        <v>27643.07</v>
      </c>
      <c r="F16" s="48">
        <f t="shared" si="3"/>
        <v>16488.9</v>
      </c>
      <c r="G16" s="48">
        <f>ROUND(IF(MONTH($A16)=12,2.333,1)*VLOOKUP($A16,'Página7'!$A$1:$AA$27,COLUMN(),TRUE),2)</f>
        <v>24142.66</v>
      </c>
      <c r="H16" s="48">
        <f>ROUND(IF(MONTH($A16)=12,2.333,1)*VLOOKUP($A16,'Página7'!$A$1:$AA$27,COLUMN(),TRUE),2)</f>
        <v>11039.05</v>
      </c>
      <c r="I16" s="48">
        <f>ROUND(IF(MONTH($A16)=12,2.333,1)*VLOOKUP($A16,'Página7'!$A$1:$AA$27,COLUMN(),TRUE),2)</f>
        <v>22654.94</v>
      </c>
      <c r="J16" s="48">
        <f t="shared" si="4"/>
        <v>19353.7</v>
      </c>
      <c r="K16" s="48">
        <f>ROUND(IF(MONTH($A16)=12,2.333,1)*VLOOKUP($A16,'Página7'!$A$1:$AA$27,COLUMN(),TRUE),2)</f>
        <v>19105.57</v>
      </c>
      <c r="L16" s="48">
        <f t="shared" si="5"/>
        <v>18921.37</v>
      </c>
      <c r="M16" s="48">
        <f t="shared" si="6"/>
        <v>11638.02</v>
      </c>
      <c r="N16" s="48">
        <f>ROUND(IF(MONTH($A16)=12,2.333,1)*VLOOKUP($A16,'Página7'!$A$1:$AA$27,COLUMN(),TRUE),2)</f>
        <v>16447.41</v>
      </c>
      <c r="O16" s="48">
        <f>ROUND(IF(MONTH($A16)=12,2.333,1)*VLOOKUP($A16,'Página7'!$A$1:$AA$27,COLUMN(),TRUE),2)</f>
        <v>7992.3</v>
      </c>
      <c r="P16" s="48">
        <f>VLOOKUP($A16,'Página7'!$A$1:$AA$27,COLUMN(),TRUE)</f>
        <v>24943.14</v>
      </c>
      <c r="Q16" s="48">
        <f>VLOOKUP($A16,'Página7'!$A$1:$AA$27,COLUMN(),TRUE)</f>
        <v>3662.5</v>
      </c>
      <c r="R16" s="48">
        <f>VLOOKUP($A16,'Página7'!$A$1:$AA$27,COLUMN(),TRUE)</f>
        <v>24943.07</v>
      </c>
      <c r="S16" s="48">
        <f>VLOOKUP($A16,'Página7'!$A$1:$AA$27,COLUMN(),TRUE)</f>
        <v>3000</v>
      </c>
      <c r="T16" s="48">
        <f>VLOOKUP($A16,'Página7'!$A$1:$AA$27,COLUMN(),TRUE)</f>
        <v>14868.9</v>
      </c>
      <c r="U16" s="48">
        <f>VLOOKUP($A16,'Página7'!$A$1:$AA$27,COLUMN(),TRUE)</f>
        <v>1800</v>
      </c>
      <c r="V16" s="48">
        <f>VLOOKUP($A16,'Página7'!$A$1:$AA$27,COLUMN(),TRUE)</f>
        <v>16963.91775</v>
      </c>
      <c r="W16" s="48">
        <f>VLOOKUP($A16,'Página7'!$A$1:$AA$27,COLUMN(),TRUE)</f>
        <v>2655.3125</v>
      </c>
      <c r="X16" s="48">
        <f>VLOOKUP($A16,'Página7'!$A$1:$AA$27,COLUMN(),TRUE)</f>
        <v>16963.87425</v>
      </c>
      <c r="Y16" s="48">
        <f>VLOOKUP($A16,'Página7'!$A$1:$AA$27,COLUMN(),TRUE)</f>
        <v>2175</v>
      </c>
      <c r="Z16" s="48">
        <f>VLOOKUP($A16,'Página7'!$A$1:$AA$27,COLUMN(),TRUE)</f>
        <v>10463.517</v>
      </c>
      <c r="AA16" s="48">
        <f>VLOOKUP($A16,'Página7'!$A$1:$AA$27,COLUMN(),TRUE)</f>
        <v>1305</v>
      </c>
    </row>
    <row r="17">
      <c r="A17" s="34">
        <v>42826.0</v>
      </c>
      <c r="B17" s="48">
        <f>ROUND(IF(MONTH($A17)=12,2.333,1)*VLOOKUP($A17,'Página7'!$A$1:$AA$27,COLUMN(),TRUE),2)</f>
        <v>33763</v>
      </c>
      <c r="C17" s="48">
        <f t="shared" si="1"/>
        <v>28239.39</v>
      </c>
      <c r="D17" s="48">
        <f>ROUND(IF(MONTH($A17)=12,2.333,1)*VLOOKUP($A17,'Página7'!$A$1:$AA$27,COLUMN(),TRUE),2)</f>
        <v>28262.24</v>
      </c>
      <c r="E17" s="48">
        <f t="shared" si="2"/>
        <v>27643.07</v>
      </c>
      <c r="F17" s="48">
        <f t="shared" si="3"/>
        <v>16488.9</v>
      </c>
      <c r="G17" s="48">
        <f>ROUND(IF(MONTH($A17)=12,2.333,1)*VLOOKUP($A17,'Página7'!$A$1:$AA$27,COLUMN(),TRUE),2)</f>
        <v>24142.66</v>
      </c>
      <c r="H17" s="48">
        <f>ROUND(IF(MONTH($A17)=12,2.333,1)*VLOOKUP($A17,'Página7'!$A$1:$AA$27,COLUMN(),TRUE),2)</f>
        <v>11039.05</v>
      </c>
      <c r="I17" s="48">
        <f>ROUND(IF(MONTH($A17)=12,2.333,1)*VLOOKUP($A17,'Página7'!$A$1:$AA$27,COLUMN(),TRUE),2)</f>
        <v>22654.94</v>
      </c>
      <c r="J17" s="48">
        <f t="shared" si="4"/>
        <v>19353.7</v>
      </c>
      <c r="K17" s="48">
        <f>ROUND(IF(MONTH($A17)=12,2.333,1)*VLOOKUP($A17,'Página7'!$A$1:$AA$27,COLUMN(),TRUE),2)</f>
        <v>19105.57</v>
      </c>
      <c r="L17" s="48">
        <f t="shared" si="5"/>
        <v>18921.37</v>
      </c>
      <c r="M17" s="48">
        <f t="shared" si="6"/>
        <v>11638.02</v>
      </c>
      <c r="N17" s="48">
        <f>ROUND(IF(MONTH($A17)=12,2.333,1)*VLOOKUP($A17,'Página7'!$A$1:$AA$27,COLUMN(),TRUE),2)</f>
        <v>16447.41</v>
      </c>
      <c r="O17" s="48">
        <f>ROUND(IF(MONTH($A17)=12,2.333,1)*VLOOKUP($A17,'Página7'!$A$1:$AA$27,COLUMN(),TRUE),2)</f>
        <v>7992.3</v>
      </c>
      <c r="P17" s="48">
        <f>VLOOKUP($A17,'Página7'!$A$1:$AA$27,COLUMN(),TRUE)</f>
        <v>24943.14</v>
      </c>
      <c r="Q17" s="48">
        <f>VLOOKUP($A17,'Página7'!$A$1:$AA$27,COLUMN(),TRUE)</f>
        <v>3662.5</v>
      </c>
      <c r="R17" s="48">
        <f>VLOOKUP($A17,'Página7'!$A$1:$AA$27,COLUMN(),TRUE)</f>
        <v>24943.07</v>
      </c>
      <c r="S17" s="48">
        <f>VLOOKUP($A17,'Página7'!$A$1:$AA$27,COLUMN(),TRUE)</f>
        <v>3000</v>
      </c>
      <c r="T17" s="48">
        <f>VLOOKUP($A17,'Página7'!$A$1:$AA$27,COLUMN(),TRUE)</f>
        <v>14868.9</v>
      </c>
      <c r="U17" s="48">
        <f>VLOOKUP($A17,'Página7'!$A$1:$AA$27,COLUMN(),TRUE)</f>
        <v>1800</v>
      </c>
      <c r="V17" s="48">
        <f>VLOOKUP($A17,'Página7'!$A$1:$AA$27,COLUMN(),TRUE)</f>
        <v>16963.91775</v>
      </c>
      <c r="W17" s="48">
        <f>VLOOKUP($A17,'Página7'!$A$1:$AA$27,COLUMN(),TRUE)</f>
        <v>2655.3125</v>
      </c>
      <c r="X17" s="48">
        <f>VLOOKUP($A17,'Página7'!$A$1:$AA$27,COLUMN(),TRUE)</f>
        <v>16963.87425</v>
      </c>
      <c r="Y17" s="48">
        <f>VLOOKUP($A17,'Página7'!$A$1:$AA$27,COLUMN(),TRUE)</f>
        <v>2175</v>
      </c>
      <c r="Z17" s="48">
        <f>VLOOKUP($A17,'Página7'!$A$1:$AA$27,COLUMN(),TRUE)</f>
        <v>10463.517</v>
      </c>
      <c r="AA17" s="48">
        <f>VLOOKUP($A17,'Página7'!$A$1:$AA$27,COLUMN(),TRUE)</f>
        <v>1305</v>
      </c>
    </row>
    <row r="18">
      <c r="A18" s="34">
        <v>42856.0</v>
      </c>
      <c r="B18" s="48">
        <f>ROUND(IF(MONTH($A18)=12,2.333,1)*VLOOKUP($A18,'Página7'!$A$1:$AA$27,COLUMN(),TRUE),2)</f>
        <v>33763</v>
      </c>
      <c r="C18" s="48">
        <f t="shared" si="1"/>
        <v>28239.39</v>
      </c>
      <c r="D18" s="48">
        <f>ROUND(IF(MONTH($A18)=12,2.333,1)*VLOOKUP($A18,'Página7'!$A$1:$AA$27,COLUMN(),TRUE),2)</f>
        <v>28262.24</v>
      </c>
      <c r="E18" s="48">
        <f t="shared" si="2"/>
        <v>27643.07</v>
      </c>
      <c r="F18" s="48">
        <f t="shared" si="3"/>
        <v>16488.9</v>
      </c>
      <c r="G18" s="48">
        <f>ROUND(IF(MONTH($A18)=12,2.333,1)*VLOOKUP($A18,'Página7'!$A$1:$AA$27,COLUMN(),TRUE),2)</f>
        <v>24142.66</v>
      </c>
      <c r="H18" s="48">
        <f>ROUND(IF(MONTH($A18)=12,2.333,1)*VLOOKUP($A18,'Página7'!$A$1:$AA$27,COLUMN(),TRUE),2)</f>
        <v>11039.05</v>
      </c>
      <c r="I18" s="48">
        <f>ROUND(IF(MONTH($A18)=12,2.333,1)*VLOOKUP($A18,'Página7'!$A$1:$AA$27,COLUMN(),TRUE),2)</f>
        <v>22654.94</v>
      </c>
      <c r="J18" s="48">
        <f t="shared" si="4"/>
        <v>19353.7</v>
      </c>
      <c r="K18" s="48">
        <f>ROUND(IF(MONTH($A18)=12,2.333,1)*VLOOKUP($A18,'Página7'!$A$1:$AA$27,COLUMN(),TRUE),2)</f>
        <v>19105.57</v>
      </c>
      <c r="L18" s="48">
        <f t="shared" si="5"/>
        <v>18921.37</v>
      </c>
      <c r="M18" s="48">
        <f t="shared" si="6"/>
        <v>11638.02</v>
      </c>
      <c r="N18" s="48">
        <f>ROUND(IF(MONTH($A18)=12,2.333,1)*VLOOKUP($A18,'Página7'!$A$1:$AA$27,COLUMN(),TRUE),2)</f>
        <v>16447.41</v>
      </c>
      <c r="O18" s="48">
        <f>ROUND(IF(MONTH($A18)=12,2.333,1)*VLOOKUP($A18,'Página7'!$A$1:$AA$27,COLUMN(),TRUE),2)</f>
        <v>7992.3</v>
      </c>
      <c r="P18" s="48">
        <f>VLOOKUP($A18,'Página7'!$A$1:$AA$27,COLUMN(),TRUE)</f>
        <v>24943.14</v>
      </c>
      <c r="Q18" s="48">
        <f>VLOOKUP($A18,'Página7'!$A$1:$AA$27,COLUMN(),TRUE)</f>
        <v>3662.5</v>
      </c>
      <c r="R18" s="48">
        <f>VLOOKUP($A18,'Página7'!$A$1:$AA$27,COLUMN(),TRUE)</f>
        <v>24943.07</v>
      </c>
      <c r="S18" s="48">
        <f>VLOOKUP($A18,'Página7'!$A$1:$AA$27,COLUMN(),TRUE)</f>
        <v>3000</v>
      </c>
      <c r="T18" s="48">
        <f>VLOOKUP($A18,'Página7'!$A$1:$AA$27,COLUMN(),TRUE)</f>
        <v>14868.9</v>
      </c>
      <c r="U18" s="48">
        <f>VLOOKUP($A18,'Página7'!$A$1:$AA$27,COLUMN(),TRUE)</f>
        <v>1800</v>
      </c>
      <c r="V18" s="48">
        <f>VLOOKUP($A18,'Página7'!$A$1:$AA$27,COLUMN(),TRUE)</f>
        <v>16963.91775</v>
      </c>
      <c r="W18" s="48">
        <f>VLOOKUP($A18,'Página7'!$A$1:$AA$27,COLUMN(),TRUE)</f>
        <v>2655.3125</v>
      </c>
      <c r="X18" s="48">
        <f>VLOOKUP($A18,'Página7'!$A$1:$AA$27,COLUMN(),TRUE)</f>
        <v>16963.87425</v>
      </c>
      <c r="Y18" s="48">
        <f>VLOOKUP($A18,'Página7'!$A$1:$AA$27,COLUMN(),TRUE)</f>
        <v>2175</v>
      </c>
      <c r="Z18" s="48">
        <f>VLOOKUP($A18,'Página7'!$A$1:$AA$27,COLUMN(),TRUE)</f>
        <v>10463.517</v>
      </c>
      <c r="AA18" s="48">
        <f>VLOOKUP($A18,'Página7'!$A$1:$AA$27,COLUMN(),TRUE)</f>
        <v>1305</v>
      </c>
    </row>
    <row r="19">
      <c r="A19" s="34">
        <v>42887.0</v>
      </c>
      <c r="B19" s="48">
        <f>ROUND(IF(MONTH($A19)=12,2.333,1)*VLOOKUP($A19,'Página7'!$A$1:$AA$27,COLUMN(),TRUE),2)</f>
        <v>33763</v>
      </c>
      <c r="C19" s="48">
        <f t="shared" si="1"/>
        <v>28239.39</v>
      </c>
      <c r="D19" s="48">
        <f>ROUND(IF(MONTH($A19)=12,2.333,1)*VLOOKUP($A19,'Página7'!$A$1:$AA$27,COLUMN(),TRUE),2)</f>
        <v>28262.24</v>
      </c>
      <c r="E19" s="48">
        <f t="shared" si="2"/>
        <v>27643.07</v>
      </c>
      <c r="F19" s="48">
        <f t="shared" si="3"/>
        <v>16488.9</v>
      </c>
      <c r="G19" s="48">
        <f>ROUND(IF(MONTH($A19)=12,2.333,1)*VLOOKUP($A19,'Página7'!$A$1:$AA$27,COLUMN(),TRUE),2)</f>
        <v>24142.66</v>
      </c>
      <c r="H19" s="48">
        <f>ROUND(IF(MONTH($A19)=12,2.333,1)*VLOOKUP($A19,'Página7'!$A$1:$AA$27,COLUMN(),TRUE),2)</f>
        <v>11039.05</v>
      </c>
      <c r="I19" s="48">
        <f>ROUND(IF(MONTH($A19)=12,2.333,1)*VLOOKUP($A19,'Página7'!$A$1:$AA$27,COLUMN(),TRUE),2)</f>
        <v>22654.94</v>
      </c>
      <c r="J19" s="48">
        <f t="shared" si="4"/>
        <v>19353.7</v>
      </c>
      <c r="K19" s="48">
        <f>ROUND(IF(MONTH($A19)=12,2.333,1)*VLOOKUP($A19,'Página7'!$A$1:$AA$27,COLUMN(),TRUE),2)</f>
        <v>19105.57</v>
      </c>
      <c r="L19" s="48">
        <f t="shared" si="5"/>
        <v>18921.37</v>
      </c>
      <c r="M19" s="48">
        <f t="shared" si="6"/>
        <v>11638.02</v>
      </c>
      <c r="N19" s="48">
        <f>ROUND(IF(MONTH($A19)=12,2.333,1)*VLOOKUP($A19,'Página7'!$A$1:$AA$27,COLUMN(),TRUE),2)</f>
        <v>16447.41</v>
      </c>
      <c r="O19" s="48">
        <f>ROUND(IF(MONTH($A19)=12,2.333,1)*VLOOKUP($A19,'Página7'!$A$1:$AA$27,COLUMN(),TRUE),2)</f>
        <v>7992.3</v>
      </c>
      <c r="P19" s="48">
        <f>VLOOKUP($A19,'Página7'!$A$1:$AA$27,COLUMN(),TRUE)</f>
        <v>24943.14</v>
      </c>
      <c r="Q19" s="48">
        <f>VLOOKUP($A19,'Página7'!$A$1:$AA$27,COLUMN(),TRUE)</f>
        <v>3662.5</v>
      </c>
      <c r="R19" s="48">
        <f>VLOOKUP($A19,'Página7'!$A$1:$AA$27,COLUMN(),TRUE)</f>
        <v>24943.07</v>
      </c>
      <c r="S19" s="48">
        <f>VLOOKUP($A19,'Página7'!$A$1:$AA$27,COLUMN(),TRUE)</f>
        <v>3000</v>
      </c>
      <c r="T19" s="48">
        <f>VLOOKUP($A19,'Página7'!$A$1:$AA$27,COLUMN(),TRUE)</f>
        <v>14868.9</v>
      </c>
      <c r="U19" s="48">
        <f>VLOOKUP($A19,'Página7'!$A$1:$AA$27,COLUMN(),TRUE)</f>
        <v>1800</v>
      </c>
      <c r="V19" s="48">
        <f>VLOOKUP($A19,'Página7'!$A$1:$AA$27,COLUMN(),TRUE)</f>
        <v>16963.91775</v>
      </c>
      <c r="W19" s="48">
        <f>VLOOKUP($A19,'Página7'!$A$1:$AA$27,COLUMN(),TRUE)</f>
        <v>2655.3125</v>
      </c>
      <c r="X19" s="48">
        <f>VLOOKUP($A19,'Página7'!$A$1:$AA$27,COLUMN(),TRUE)</f>
        <v>16963.87425</v>
      </c>
      <c r="Y19" s="48">
        <f>VLOOKUP($A19,'Página7'!$A$1:$AA$27,COLUMN(),TRUE)</f>
        <v>2175</v>
      </c>
      <c r="Z19" s="48">
        <f>VLOOKUP($A19,'Página7'!$A$1:$AA$27,COLUMN(),TRUE)</f>
        <v>10463.517</v>
      </c>
      <c r="AA19" s="48">
        <f>VLOOKUP($A19,'Página7'!$A$1:$AA$27,COLUMN(),TRUE)</f>
        <v>1305</v>
      </c>
    </row>
    <row r="20">
      <c r="A20" s="34">
        <v>42917.0</v>
      </c>
      <c r="B20" s="48">
        <f>ROUND(IF(MONTH($A20)=12,2.333,1)*VLOOKUP($A20,'Página7'!$A$1:$AA$27,COLUMN(),TRUE),2)</f>
        <v>33763</v>
      </c>
      <c r="C20" s="48">
        <f t="shared" si="1"/>
        <v>28239.39</v>
      </c>
      <c r="D20" s="48">
        <f>ROUND(IF(MONTH($A20)=12,2.333,1)*VLOOKUP($A20,'Página7'!$A$1:$AA$27,COLUMN(),TRUE),2)</f>
        <v>28262.24</v>
      </c>
      <c r="E20" s="48">
        <f t="shared" si="2"/>
        <v>27643.07</v>
      </c>
      <c r="F20" s="48">
        <f t="shared" si="3"/>
        <v>16488.9</v>
      </c>
      <c r="G20" s="48">
        <f>ROUND(IF(MONTH($A20)=12,2.333,1)*VLOOKUP($A20,'Página7'!$A$1:$AA$27,COLUMN(),TRUE),2)</f>
        <v>24142.66</v>
      </c>
      <c r="H20" s="48">
        <f>ROUND(IF(MONTH($A20)=12,2.333,1)*VLOOKUP($A20,'Página7'!$A$1:$AA$27,COLUMN(),TRUE),2)</f>
        <v>11039.05</v>
      </c>
      <c r="I20" s="48">
        <f>ROUND(IF(MONTH($A20)=12,2.333,1)*VLOOKUP($A20,'Página7'!$A$1:$AA$27,COLUMN(),TRUE),2)</f>
        <v>22654.94</v>
      </c>
      <c r="J20" s="48">
        <f t="shared" si="4"/>
        <v>19353.7</v>
      </c>
      <c r="K20" s="48">
        <f>ROUND(IF(MONTH($A20)=12,2.333,1)*VLOOKUP($A20,'Página7'!$A$1:$AA$27,COLUMN(),TRUE),2)</f>
        <v>19105.57</v>
      </c>
      <c r="L20" s="48">
        <f t="shared" si="5"/>
        <v>18921.37</v>
      </c>
      <c r="M20" s="48">
        <f t="shared" si="6"/>
        <v>11638.02</v>
      </c>
      <c r="N20" s="48">
        <f>ROUND(IF(MONTH($A20)=12,2.333,1)*VLOOKUP($A20,'Página7'!$A$1:$AA$27,COLUMN(),TRUE),2)</f>
        <v>16447.41</v>
      </c>
      <c r="O20" s="48">
        <f>ROUND(IF(MONTH($A20)=12,2.333,1)*VLOOKUP($A20,'Página7'!$A$1:$AA$27,COLUMN(),TRUE),2)</f>
        <v>7992.3</v>
      </c>
      <c r="P20" s="48">
        <f>VLOOKUP($A20,'Página7'!$A$1:$AA$27,COLUMN(),TRUE)</f>
        <v>24943.14</v>
      </c>
      <c r="Q20" s="48">
        <f>VLOOKUP($A20,'Página7'!$A$1:$AA$27,COLUMN(),TRUE)</f>
        <v>3662.5</v>
      </c>
      <c r="R20" s="48">
        <f>VLOOKUP($A20,'Página7'!$A$1:$AA$27,COLUMN(),TRUE)</f>
        <v>24943.07</v>
      </c>
      <c r="S20" s="48">
        <f>VLOOKUP($A20,'Página7'!$A$1:$AA$27,COLUMN(),TRUE)</f>
        <v>3000</v>
      </c>
      <c r="T20" s="48">
        <f>VLOOKUP($A20,'Página7'!$A$1:$AA$27,COLUMN(),TRUE)</f>
        <v>14868.9</v>
      </c>
      <c r="U20" s="48">
        <f>VLOOKUP($A20,'Página7'!$A$1:$AA$27,COLUMN(),TRUE)</f>
        <v>1800</v>
      </c>
      <c r="V20" s="48">
        <f>VLOOKUP($A20,'Página7'!$A$1:$AA$27,COLUMN(),TRUE)</f>
        <v>16963.91775</v>
      </c>
      <c r="W20" s="48">
        <f>VLOOKUP($A20,'Página7'!$A$1:$AA$27,COLUMN(),TRUE)</f>
        <v>2655.3125</v>
      </c>
      <c r="X20" s="48">
        <f>VLOOKUP($A20,'Página7'!$A$1:$AA$27,COLUMN(),TRUE)</f>
        <v>16963.87425</v>
      </c>
      <c r="Y20" s="48">
        <f>VLOOKUP($A20,'Página7'!$A$1:$AA$27,COLUMN(),TRUE)</f>
        <v>2175</v>
      </c>
      <c r="Z20" s="48">
        <f>VLOOKUP($A20,'Página7'!$A$1:$AA$27,COLUMN(),TRUE)</f>
        <v>10463.517</v>
      </c>
      <c r="AA20" s="48">
        <f>VLOOKUP($A20,'Página7'!$A$1:$AA$27,COLUMN(),TRUE)</f>
        <v>1305</v>
      </c>
    </row>
    <row r="21">
      <c r="A21" s="34">
        <v>42948.0</v>
      </c>
      <c r="B21" s="48">
        <f>ROUND(IF(MONTH($A21)=12,2.333,1)*VLOOKUP($A21,'Página7'!$A$1:$AA$27,COLUMN(),TRUE),2)</f>
        <v>33763</v>
      </c>
      <c r="C21" s="48">
        <f t="shared" si="1"/>
        <v>28239.39</v>
      </c>
      <c r="D21" s="48">
        <f>ROUND(IF(MONTH($A21)=12,2.333,1)*VLOOKUP($A21,'Página7'!$A$1:$AA$27,COLUMN(),TRUE),2)</f>
        <v>28262.24</v>
      </c>
      <c r="E21" s="48">
        <f t="shared" si="2"/>
        <v>27643.07</v>
      </c>
      <c r="F21" s="48">
        <f t="shared" si="3"/>
        <v>16488.9</v>
      </c>
      <c r="G21" s="48">
        <f>ROUND(IF(MONTH($A21)=12,2.333,1)*VLOOKUP($A21,'Página7'!$A$1:$AA$27,COLUMN(),TRUE),2)</f>
        <v>24142.66</v>
      </c>
      <c r="H21" s="48">
        <f>ROUND(IF(MONTH($A21)=12,2.333,1)*VLOOKUP($A21,'Página7'!$A$1:$AA$27,COLUMN(),TRUE),2)</f>
        <v>11039.05</v>
      </c>
      <c r="I21" s="48">
        <f>ROUND(IF(MONTH($A21)=12,2.333,1)*VLOOKUP($A21,'Página7'!$A$1:$AA$27,COLUMN(),TRUE),2)</f>
        <v>22654.94</v>
      </c>
      <c r="J21" s="48">
        <f t="shared" si="4"/>
        <v>19353.7</v>
      </c>
      <c r="K21" s="48">
        <f>ROUND(IF(MONTH($A21)=12,2.333,1)*VLOOKUP($A21,'Página7'!$A$1:$AA$27,COLUMN(),TRUE),2)</f>
        <v>19105.57</v>
      </c>
      <c r="L21" s="48">
        <f t="shared" si="5"/>
        <v>18921.37</v>
      </c>
      <c r="M21" s="48">
        <f t="shared" si="6"/>
        <v>11638.02</v>
      </c>
      <c r="N21" s="48">
        <f>ROUND(IF(MONTH($A21)=12,2.333,1)*VLOOKUP($A21,'Página7'!$A$1:$AA$27,COLUMN(),TRUE),2)</f>
        <v>16447.41</v>
      </c>
      <c r="O21" s="48">
        <f>ROUND(IF(MONTH($A21)=12,2.333,1)*VLOOKUP($A21,'Página7'!$A$1:$AA$27,COLUMN(),TRUE),2)</f>
        <v>7992.3</v>
      </c>
      <c r="P21" s="48">
        <f>VLOOKUP($A21,'Página7'!$A$1:$AA$27,COLUMN(),TRUE)</f>
        <v>24943.14</v>
      </c>
      <c r="Q21" s="48">
        <f>VLOOKUP($A21,'Página7'!$A$1:$AA$27,COLUMN(),TRUE)</f>
        <v>3662.5</v>
      </c>
      <c r="R21" s="48">
        <f>VLOOKUP($A21,'Página7'!$A$1:$AA$27,COLUMN(),TRUE)</f>
        <v>24943.07</v>
      </c>
      <c r="S21" s="48">
        <f>VLOOKUP($A21,'Página7'!$A$1:$AA$27,COLUMN(),TRUE)</f>
        <v>3000</v>
      </c>
      <c r="T21" s="48">
        <f>VLOOKUP($A21,'Página7'!$A$1:$AA$27,COLUMN(),TRUE)</f>
        <v>14868.9</v>
      </c>
      <c r="U21" s="48">
        <f>VLOOKUP($A21,'Página7'!$A$1:$AA$27,COLUMN(),TRUE)</f>
        <v>1800</v>
      </c>
      <c r="V21" s="48">
        <f>VLOOKUP($A21,'Página7'!$A$1:$AA$27,COLUMN(),TRUE)</f>
        <v>16963.91775</v>
      </c>
      <c r="W21" s="48">
        <f>VLOOKUP($A21,'Página7'!$A$1:$AA$27,COLUMN(),TRUE)</f>
        <v>2655.3125</v>
      </c>
      <c r="X21" s="48">
        <f>VLOOKUP($A21,'Página7'!$A$1:$AA$27,COLUMN(),TRUE)</f>
        <v>16963.87425</v>
      </c>
      <c r="Y21" s="48">
        <f>VLOOKUP($A21,'Página7'!$A$1:$AA$27,COLUMN(),TRUE)</f>
        <v>2175</v>
      </c>
      <c r="Z21" s="48">
        <f>VLOOKUP($A21,'Página7'!$A$1:$AA$27,COLUMN(),TRUE)</f>
        <v>10463.517</v>
      </c>
      <c r="AA21" s="48">
        <f>VLOOKUP($A21,'Página7'!$A$1:$AA$27,COLUMN(),TRUE)</f>
        <v>1305</v>
      </c>
    </row>
    <row r="22">
      <c r="A22" s="34">
        <v>42979.0</v>
      </c>
      <c r="B22" s="48">
        <f>ROUND(IF(MONTH($A22)=12,2.333,1)*VLOOKUP($A22,'Página7'!$A$1:$AA$27,COLUMN(),TRUE),2)</f>
        <v>33763</v>
      </c>
      <c r="C22" s="48">
        <f t="shared" si="1"/>
        <v>28239.39</v>
      </c>
      <c r="D22" s="48">
        <f>ROUND(IF(MONTH($A22)=12,2.333,1)*VLOOKUP($A22,'Página7'!$A$1:$AA$27,COLUMN(),TRUE),2)</f>
        <v>28262.24</v>
      </c>
      <c r="E22" s="48">
        <f t="shared" si="2"/>
        <v>27643.07</v>
      </c>
      <c r="F22" s="48">
        <f t="shared" si="3"/>
        <v>16488.9</v>
      </c>
      <c r="G22" s="48">
        <f>ROUND(IF(MONTH($A22)=12,2.333,1)*VLOOKUP($A22,'Página7'!$A$1:$AA$27,COLUMN(),TRUE),2)</f>
        <v>24142.66</v>
      </c>
      <c r="H22" s="48">
        <f>ROUND(IF(MONTH($A22)=12,2.333,1)*VLOOKUP($A22,'Página7'!$A$1:$AA$27,COLUMN(),TRUE),2)</f>
        <v>11039.05</v>
      </c>
      <c r="I22" s="48">
        <f>ROUND(IF(MONTH($A22)=12,2.333,1)*VLOOKUP($A22,'Página7'!$A$1:$AA$27,COLUMN(),TRUE),2)</f>
        <v>22654.94</v>
      </c>
      <c r="J22" s="48">
        <f t="shared" si="4"/>
        <v>19353.7</v>
      </c>
      <c r="K22" s="48">
        <f>ROUND(IF(MONTH($A22)=12,2.333,1)*VLOOKUP($A22,'Página7'!$A$1:$AA$27,COLUMN(),TRUE),2)</f>
        <v>19105.57</v>
      </c>
      <c r="L22" s="48">
        <f t="shared" si="5"/>
        <v>18921.37</v>
      </c>
      <c r="M22" s="48">
        <f t="shared" si="6"/>
        <v>11638.02</v>
      </c>
      <c r="N22" s="48">
        <f>ROUND(IF(MONTH($A22)=12,2.333,1)*VLOOKUP($A22,'Página7'!$A$1:$AA$27,COLUMN(),TRUE),2)</f>
        <v>16447.41</v>
      </c>
      <c r="O22" s="48">
        <f>ROUND(IF(MONTH($A22)=12,2.333,1)*VLOOKUP($A22,'Página7'!$A$1:$AA$27,COLUMN(),TRUE),2)</f>
        <v>7992.3</v>
      </c>
      <c r="P22" s="48">
        <f>VLOOKUP($A22,'Página7'!$A$1:$AA$27,COLUMN(),TRUE)</f>
        <v>24943.14</v>
      </c>
      <c r="Q22" s="48">
        <f>VLOOKUP($A22,'Página7'!$A$1:$AA$27,COLUMN(),TRUE)</f>
        <v>3662.5</v>
      </c>
      <c r="R22" s="48">
        <f>VLOOKUP($A22,'Página7'!$A$1:$AA$27,COLUMN(),TRUE)</f>
        <v>24943.07</v>
      </c>
      <c r="S22" s="48">
        <f>VLOOKUP($A22,'Página7'!$A$1:$AA$27,COLUMN(),TRUE)</f>
        <v>3000</v>
      </c>
      <c r="T22" s="48">
        <f>VLOOKUP($A22,'Página7'!$A$1:$AA$27,COLUMN(),TRUE)</f>
        <v>14868.9</v>
      </c>
      <c r="U22" s="48">
        <f>VLOOKUP($A22,'Página7'!$A$1:$AA$27,COLUMN(),TRUE)</f>
        <v>1800</v>
      </c>
      <c r="V22" s="48">
        <f>VLOOKUP($A22,'Página7'!$A$1:$AA$27,COLUMN(),TRUE)</f>
        <v>16963.91775</v>
      </c>
      <c r="W22" s="48">
        <f>VLOOKUP($A22,'Página7'!$A$1:$AA$27,COLUMN(),TRUE)</f>
        <v>2655.3125</v>
      </c>
      <c r="X22" s="48">
        <f>VLOOKUP($A22,'Página7'!$A$1:$AA$27,COLUMN(),TRUE)</f>
        <v>16963.87425</v>
      </c>
      <c r="Y22" s="48">
        <f>VLOOKUP($A22,'Página7'!$A$1:$AA$27,COLUMN(),TRUE)</f>
        <v>2175</v>
      </c>
      <c r="Z22" s="48">
        <f>VLOOKUP($A22,'Página7'!$A$1:$AA$27,COLUMN(),TRUE)</f>
        <v>10463.517</v>
      </c>
      <c r="AA22" s="48">
        <f>VLOOKUP($A22,'Página7'!$A$1:$AA$27,COLUMN(),TRUE)</f>
        <v>1305</v>
      </c>
    </row>
    <row r="23">
      <c r="A23" s="34">
        <v>43009.0</v>
      </c>
      <c r="B23" s="48">
        <f>ROUND(IF(MONTH($A23)=12,2.333,1)*VLOOKUP($A23,'Página7'!$A$1:$AA$27,COLUMN(),TRUE),2)</f>
        <v>33763</v>
      </c>
      <c r="C23" s="48">
        <f t="shared" si="1"/>
        <v>28239.39</v>
      </c>
      <c r="D23" s="48">
        <f>ROUND(IF(MONTH($A23)=12,2.333,1)*VLOOKUP($A23,'Página7'!$A$1:$AA$27,COLUMN(),TRUE),2)</f>
        <v>28262.24</v>
      </c>
      <c r="E23" s="48">
        <f t="shared" si="2"/>
        <v>27643.07</v>
      </c>
      <c r="F23" s="48">
        <f t="shared" si="3"/>
        <v>16488.9</v>
      </c>
      <c r="G23" s="48">
        <f>ROUND(IF(MONTH($A23)=12,2.333,1)*VLOOKUP($A23,'Página7'!$A$1:$AA$27,COLUMN(),TRUE),2)</f>
        <v>24142.66</v>
      </c>
      <c r="H23" s="48">
        <f>ROUND(IF(MONTH($A23)=12,2.333,1)*VLOOKUP($A23,'Página7'!$A$1:$AA$27,COLUMN(),TRUE),2)</f>
        <v>11039.05</v>
      </c>
      <c r="I23" s="48">
        <f>ROUND(IF(MONTH($A23)=12,2.333,1)*VLOOKUP($A23,'Página7'!$A$1:$AA$27,COLUMN(),TRUE),2)</f>
        <v>22654.94</v>
      </c>
      <c r="J23" s="48">
        <f t="shared" si="4"/>
        <v>19353.7</v>
      </c>
      <c r="K23" s="48">
        <f>ROUND(IF(MONTH($A23)=12,2.333,1)*VLOOKUP($A23,'Página7'!$A$1:$AA$27,COLUMN(),TRUE),2)</f>
        <v>19105.57</v>
      </c>
      <c r="L23" s="48">
        <f t="shared" si="5"/>
        <v>18921.37</v>
      </c>
      <c r="M23" s="48">
        <f t="shared" si="6"/>
        <v>11638.02</v>
      </c>
      <c r="N23" s="48">
        <f>ROUND(IF(MONTH($A23)=12,2.333,1)*VLOOKUP($A23,'Página7'!$A$1:$AA$27,COLUMN(),TRUE),2)</f>
        <v>16447.41</v>
      </c>
      <c r="O23" s="48">
        <f>ROUND(IF(MONTH($A23)=12,2.333,1)*VLOOKUP($A23,'Página7'!$A$1:$AA$27,COLUMN(),TRUE),2)</f>
        <v>7992.3</v>
      </c>
      <c r="P23" s="48">
        <f>VLOOKUP($A23,'Página7'!$A$1:$AA$27,COLUMN(),TRUE)</f>
        <v>24943.14</v>
      </c>
      <c r="Q23" s="48">
        <f>VLOOKUP($A23,'Página7'!$A$1:$AA$27,COLUMN(),TRUE)</f>
        <v>3662.5</v>
      </c>
      <c r="R23" s="48">
        <f>VLOOKUP($A23,'Página7'!$A$1:$AA$27,COLUMN(),TRUE)</f>
        <v>24943.07</v>
      </c>
      <c r="S23" s="48">
        <f>VLOOKUP($A23,'Página7'!$A$1:$AA$27,COLUMN(),TRUE)</f>
        <v>3000</v>
      </c>
      <c r="T23" s="48">
        <f>VLOOKUP($A23,'Página7'!$A$1:$AA$27,COLUMN(),TRUE)</f>
        <v>14868.9</v>
      </c>
      <c r="U23" s="48">
        <f>VLOOKUP($A23,'Página7'!$A$1:$AA$27,COLUMN(),TRUE)</f>
        <v>1800</v>
      </c>
      <c r="V23" s="48">
        <f>VLOOKUP($A23,'Página7'!$A$1:$AA$27,COLUMN(),TRUE)</f>
        <v>16963.91775</v>
      </c>
      <c r="W23" s="48">
        <f>VLOOKUP($A23,'Página7'!$A$1:$AA$27,COLUMN(),TRUE)</f>
        <v>2655.3125</v>
      </c>
      <c r="X23" s="48">
        <f>VLOOKUP($A23,'Página7'!$A$1:$AA$27,COLUMN(),TRUE)</f>
        <v>16963.87425</v>
      </c>
      <c r="Y23" s="48">
        <f>VLOOKUP($A23,'Página7'!$A$1:$AA$27,COLUMN(),TRUE)</f>
        <v>2175</v>
      </c>
      <c r="Z23" s="48">
        <f>VLOOKUP($A23,'Página7'!$A$1:$AA$27,COLUMN(),TRUE)</f>
        <v>10463.517</v>
      </c>
      <c r="AA23" s="48">
        <f>VLOOKUP($A23,'Página7'!$A$1:$AA$27,COLUMN(),TRUE)</f>
        <v>1305</v>
      </c>
    </row>
    <row r="24">
      <c r="A24" s="34">
        <v>43040.0</v>
      </c>
      <c r="B24" s="48">
        <f>ROUND(IF(MONTH($A24)=12,2.333,1)*VLOOKUP($A24,'Página7'!$A$1:$AA$27,COLUMN(),TRUE),2)</f>
        <v>33763</v>
      </c>
      <c r="C24" s="48">
        <f t="shared" si="1"/>
        <v>28239.39</v>
      </c>
      <c r="D24" s="48">
        <f>ROUND(IF(MONTH($A24)=12,2.333,1)*VLOOKUP($A24,'Página7'!$A$1:$AA$27,COLUMN(),TRUE),2)</f>
        <v>28262.24</v>
      </c>
      <c r="E24" s="48">
        <f t="shared" si="2"/>
        <v>27643.07</v>
      </c>
      <c r="F24" s="48">
        <f t="shared" si="3"/>
        <v>16488.9</v>
      </c>
      <c r="G24" s="48">
        <f>ROUND(IF(MONTH($A24)=12,2.333,1)*VLOOKUP($A24,'Página7'!$A$1:$AA$27,COLUMN(),TRUE),2)</f>
        <v>24142.66</v>
      </c>
      <c r="H24" s="48">
        <f>ROUND(IF(MONTH($A24)=12,2.333,1)*VLOOKUP($A24,'Página7'!$A$1:$AA$27,COLUMN(),TRUE),2)</f>
        <v>11039.05</v>
      </c>
      <c r="I24" s="48">
        <f>ROUND(IF(MONTH($A24)=12,2.333,1)*VLOOKUP($A24,'Página7'!$A$1:$AA$27,COLUMN(),TRUE),2)</f>
        <v>22654.94</v>
      </c>
      <c r="J24" s="48">
        <f t="shared" si="4"/>
        <v>19353.7</v>
      </c>
      <c r="K24" s="48">
        <f>ROUND(IF(MONTH($A24)=12,2.333,1)*VLOOKUP($A24,'Página7'!$A$1:$AA$27,COLUMN(),TRUE),2)</f>
        <v>19105.57</v>
      </c>
      <c r="L24" s="48">
        <f t="shared" si="5"/>
        <v>18921.37</v>
      </c>
      <c r="M24" s="48">
        <f t="shared" si="6"/>
        <v>11638.02</v>
      </c>
      <c r="N24" s="48">
        <f>ROUND(IF(MONTH($A24)=12,2.333,1)*VLOOKUP($A24,'Página7'!$A$1:$AA$27,COLUMN(),TRUE),2)</f>
        <v>16447.41</v>
      </c>
      <c r="O24" s="48">
        <f>ROUND(IF(MONTH($A24)=12,2.333,1)*VLOOKUP($A24,'Página7'!$A$1:$AA$27,COLUMN(),TRUE),2)</f>
        <v>7992.3</v>
      </c>
      <c r="P24" s="48">
        <f>VLOOKUP($A24,'Página7'!$A$1:$AA$27,COLUMN(),TRUE)</f>
        <v>24943.14</v>
      </c>
      <c r="Q24" s="48">
        <f>VLOOKUP($A24,'Página7'!$A$1:$AA$27,COLUMN(),TRUE)</f>
        <v>3662.5</v>
      </c>
      <c r="R24" s="48">
        <f>VLOOKUP($A24,'Página7'!$A$1:$AA$27,COLUMN(),TRUE)</f>
        <v>24943.07</v>
      </c>
      <c r="S24" s="48">
        <f>VLOOKUP($A24,'Página7'!$A$1:$AA$27,COLUMN(),TRUE)</f>
        <v>3000</v>
      </c>
      <c r="T24" s="48">
        <f>VLOOKUP($A24,'Página7'!$A$1:$AA$27,COLUMN(),TRUE)</f>
        <v>14868.9</v>
      </c>
      <c r="U24" s="48">
        <f>VLOOKUP($A24,'Página7'!$A$1:$AA$27,COLUMN(),TRUE)</f>
        <v>1800</v>
      </c>
      <c r="V24" s="48">
        <f>VLOOKUP($A24,'Página7'!$A$1:$AA$27,COLUMN(),TRUE)</f>
        <v>16963.91775</v>
      </c>
      <c r="W24" s="48">
        <f>VLOOKUP($A24,'Página7'!$A$1:$AA$27,COLUMN(),TRUE)</f>
        <v>2655.3125</v>
      </c>
      <c r="X24" s="48">
        <f>VLOOKUP($A24,'Página7'!$A$1:$AA$27,COLUMN(),TRUE)</f>
        <v>16963.87425</v>
      </c>
      <c r="Y24" s="48">
        <f>VLOOKUP($A24,'Página7'!$A$1:$AA$27,COLUMN(),TRUE)</f>
        <v>2175</v>
      </c>
      <c r="Z24" s="48">
        <f>VLOOKUP($A24,'Página7'!$A$1:$AA$27,COLUMN(),TRUE)</f>
        <v>10463.517</v>
      </c>
      <c r="AA24" s="48">
        <f>VLOOKUP($A24,'Página7'!$A$1:$AA$27,COLUMN(),TRUE)</f>
        <v>1305</v>
      </c>
    </row>
    <row r="25">
      <c r="A25" s="34">
        <v>43070.0</v>
      </c>
      <c r="B25" s="48">
        <f>ROUND(IF(MONTH($A25)=12,2.333,1)*VLOOKUP($A25,'Página7'!$A$1:$AA$27,COLUMN(),TRUE),2)</f>
        <v>78769.08</v>
      </c>
      <c r="C25" s="48">
        <f t="shared" si="1"/>
        <v>65882.5</v>
      </c>
      <c r="D25" s="48">
        <f>ROUND(IF(MONTH($A25)=12,2.333,1)*VLOOKUP($A25,'Página7'!$A$1:$AA$27,COLUMN(),TRUE),2)</f>
        <v>65935.81</v>
      </c>
      <c r="E25" s="48">
        <f t="shared" si="2"/>
        <v>64491.28</v>
      </c>
      <c r="F25" s="48">
        <f t="shared" si="3"/>
        <v>38468.6</v>
      </c>
      <c r="G25" s="48">
        <f>ROUND(IF(MONTH($A25)=12,2.333,1)*VLOOKUP($A25,'Página7'!$A$1:$AA$27,COLUMN(),TRUE),2)</f>
        <v>56324.83</v>
      </c>
      <c r="H25" s="48">
        <f>ROUND(IF(MONTH($A25)=12,2.333,1)*VLOOKUP($A25,'Página7'!$A$1:$AA$27,COLUMN(),TRUE),2)</f>
        <v>25754.1</v>
      </c>
      <c r="I25" s="48">
        <f>ROUND(IF(MONTH($A25)=12,2.333,1)*VLOOKUP($A25,'Página7'!$A$1:$AA$27,COLUMN(),TRUE),2)</f>
        <v>52853.97</v>
      </c>
      <c r="J25" s="48">
        <f t="shared" si="4"/>
        <v>45152.18</v>
      </c>
      <c r="K25" s="48">
        <f>ROUND(IF(MONTH($A25)=12,2.333,1)*VLOOKUP($A25,'Página7'!$A$1:$AA$27,COLUMN(),TRUE),2)</f>
        <v>44573.29</v>
      </c>
      <c r="L25" s="48">
        <f t="shared" si="5"/>
        <v>44143.57</v>
      </c>
      <c r="M25" s="48">
        <f t="shared" si="6"/>
        <v>27151.49</v>
      </c>
      <c r="N25" s="48">
        <f>ROUND(IF(MONTH($A25)=12,2.333,1)*VLOOKUP($A25,'Página7'!$A$1:$AA$27,COLUMN(),TRUE),2)</f>
        <v>38371.82</v>
      </c>
      <c r="O25" s="48">
        <f>ROUND(IF(MONTH($A25)=12,2.333,1)*VLOOKUP($A25,'Página7'!$A$1:$AA$27,COLUMN(),TRUE),2)</f>
        <v>18646.04</v>
      </c>
      <c r="P25" s="48">
        <f>VLOOKUP($A25,'Página7'!$A$1:$AA$27,COLUMN(),TRUE)</f>
        <v>24943.14</v>
      </c>
      <c r="Q25" s="48">
        <f>VLOOKUP($A25,'Página7'!$A$1:$AA$27,COLUMN(),TRUE)</f>
        <v>3662.5</v>
      </c>
      <c r="R25" s="48">
        <f>VLOOKUP($A25,'Página7'!$A$1:$AA$27,COLUMN(),TRUE)</f>
        <v>24943.07</v>
      </c>
      <c r="S25" s="48">
        <f>VLOOKUP($A25,'Página7'!$A$1:$AA$27,COLUMN(),TRUE)</f>
        <v>3000</v>
      </c>
      <c r="T25" s="48">
        <f>VLOOKUP($A25,'Página7'!$A$1:$AA$27,COLUMN(),TRUE)</f>
        <v>14868.9</v>
      </c>
      <c r="U25" s="48">
        <f>VLOOKUP($A25,'Página7'!$A$1:$AA$27,COLUMN(),TRUE)</f>
        <v>1800</v>
      </c>
      <c r="V25" s="48">
        <f>VLOOKUP($A25,'Página7'!$A$1:$AA$27,COLUMN(),TRUE)</f>
        <v>16963.91775</v>
      </c>
      <c r="W25" s="48">
        <f>VLOOKUP($A25,'Página7'!$A$1:$AA$27,COLUMN(),TRUE)</f>
        <v>2655.3125</v>
      </c>
      <c r="X25" s="48">
        <f>VLOOKUP($A25,'Página7'!$A$1:$AA$27,COLUMN(),TRUE)</f>
        <v>16963.87425</v>
      </c>
      <c r="Y25" s="48">
        <f>VLOOKUP($A25,'Página7'!$A$1:$AA$27,COLUMN(),TRUE)</f>
        <v>2175</v>
      </c>
      <c r="Z25" s="48">
        <f>VLOOKUP($A25,'Página7'!$A$1:$AA$27,COLUMN(),TRUE)</f>
        <v>10463.517</v>
      </c>
      <c r="AA25" s="48">
        <f>VLOOKUP($A25,'Página7'!$A$1:$AA$27,COLUMN(),TRUE)</f>
        <v>1305</v>
      </c>
    </row>
    <row r="26">
      <c r="A26" s="34">
        <v>43101.0</v>
      </c>
      <c r="B26" s="48">
        <f>ROUND(IF(MONTH($A26)=12,2.333,1)*VLOOKUP($A26,'Página7'!$A$1:$AA$27,COLUMN(),TRUE),2)</f>
        <v>33763</v>
      </c>
      <c r="C26" s="48">
        <f t="shared" si="1"/>
        <v>31934.73</v>
      </c>
      <c r="D26" s="48">
        <f>ROUND(IF(MONTH($A26)=12,2.333,1)*VLOOKUP($A26,'Página7'!$A$1:$AA$27,COLUMN(),TRUE),2)</f>
        <v>29604.7</v>
      </c>
      <c r="E26" s="48">
        <f t="shared" si="2"/>
        <v>28827.87</v>
      </c>
      <c r="F26" s="48">
        <f t="shared" si="3"/>
        <v>17195.17</v>
      </c>
      <c r="G26" s="48">
        <f>ROUND(IF(MONTH($A26)=12,2.333,1)*VLOOKUP($A26,'Página7'!$A$1:$AA$27,COLUMN(),TRUE),2)</f>
        <v>25745.61</v>
      </c>
      <c r="H26" s="48">
        <f>ROUND(IF(MONTH($A26)=12,2.333,1)*VLOOKUP($A26,'Página7'!$A$1:$AA$27,COLUMN(),TRUE),2)</f>
        <v>11771.99</v>
      </c>
      <c r="I26" s="48">
        <f>ROUND(IF(MONTH($A26)=12,2.333,1)*VLOOKUP($A26,'Página7'!$A$1:$AA$27,COLUMN(),TRUE),2)</f>
        <v>22654.94</v>
      </c>
      <c r="J26" s="48">
        <f t="shared" si="4"/>
        <v>21938.34</v>
      </c>
      <c r="K26" s="48">
        <f>ROUND(IF(MONTH($A26)=12,2.333,1)*VLOOKUP($A26,'Página7'!$A$1:$AA$27,COLUMN(),TRUE),2)</f>
        <v>19971.79</v>
      </c>
      <c r="L26" s="48">
        <f t="shared" si="5"/>
        <v>19685.87</v>
      </c>
      <c r="M26" s="48">
        <f t="shared" si="6"/>
        <v>12093.74</v>
      </c>
      <c r="N26" s="48">
        <f>ROUND(IF(MONTH($A26)=12,2.333,1)*VLOOKUP($A26,'Página7'!$A$1:$AA$27,COLUMN(),TRUE),2)</f>
        <v>17481.71</v>
      </c>
      <c r="O26" s="48">
        <f>ROUND(IF(MONTH($A26)=12,2.333,1)*VLOOKUP($A26,'Página7'!$A$1:$AA$27,COLUMN(),TRUE),2)</f>
        <v>8465.24</v>
      </c>
      <c r="P26" s="48">
        <f>VLOOKUP($A26,'Página7'!$A$1:$AA$27,COLUMN(),TRUE)</f>
        <v>26127.94</v>
      </c>
      <c r="Q26" s="48">
        <f>VLOOKUP($A26,'Página7'!$A$1:$AA$27,COLUMN(),TRUE)</f>
        <v>6451.99</v>
      </c>
      <c r="R26" s="48">
        <f>VLOOKUP($A26,'Página7'!$A$1:$AA$27,COLUMN(),TRUE)</f>
        <v>26127.87</v>
      </c>
      <c r="S26" s="48">
        <f>VLOOKUP($A26,'Página7'!$A$1:$AA$27,COLUMN(),TRUE)</f>
        <v>3000</v>
      </c>
      <c r="T26" s="48">
        <f>VLOOKUP($A26,'Página7'!$A$1:$AA$27,COLUMN(),TRUE)</f>
        <v>15575.17</v>
      </c>
      <c r="U26" s="48">
        <f>VLOOKUP($A26,'Página7'!$A$1:$AA$27,COLUMN(),TRUE)</f>
        <v>1800</v>
      </c>
      <c r="V26" s="48">
        <f>VLOOKUP($A26,'Página7'!$A$1:$AA$27,COLUMN(),TRUE)</f>
        <v>17728.41575</v>
      </c>
      <c r="W26" s="48">
        <f>VLOOKUP($A26,'Página7'!$A$1:$AA$27,COLUMN(),TRUE)</f>
        <v>4677.69275</v>
      </c>
      <c r="X26" s="48">
        <f>VLOOKUP($A26,'Página7'!$A$1:$AA$27,COLUMN(),TRUE)</f>
        <v>17728.365</v>
      </c>
      <c r="Y26" s="48">
        <f>VLOOKUP($A26,'Página7'!$A$1:$AA$27,COLUMN(),TRUE)</f>
        <v>2175</v>
      </c>
      <c r="Z26" s="48">
        <f>VLOOKUP($A26,'Página7'!$A$1:$AA$27,COLUMN(),TRUE)</f>
        <v>10919.2375</v>
      </c>
      <c r="AA26" s="48">
        <f>VLOOKUP($A26,'Página7'!$A$1:$AA$27,COLUMN(),TRUE)</f>
        <v>1305</v>
      </c>
    </row>
    <row r="27">
      <c r="A27" s="34">
        <v>43132.0</v>
      </c>
      <c r="B27" s="48">
        <f>ROUND(IF(MONTH($A27)=12,2.333,1)*VLOOKUP($A27,'Página7'!$A$1:$AA$27,COLUMN(),TRUE),2)</f>
        <v>33763</v>
      </c>
      <c r="C27" s="48">
        <f t="shared" si="1"/>
        <v>31934.73</v>
      </c>
      <c r="D27" s="48">
        <f>ROUND(IF(MONTH($A27)=12,2.333,1)*VLOOKUP($A27,'Página7'!$A$1:$AA$27,COLUMN(),TRUE),2)</f>
        <v>29604.7</v>
      </c>
      <c r="E27" s="48">
        <f t="shared" si="2"/>
        <v>28827.87</v>
      </c>
      <c r="F27" s="48">
        <f t="shared" si="3"/>
        <v>17195.17</v>
      </c>
      <c r="G27" s="48">
        <f>ROUND(IF(MONTH($A27)=12,2.333,1)*VLOOKUP($A27,'Página7'!$A$1:$AA$27,COLUMN(),TRUE),2)</f>
        <v>25745.61</v>
      </c>
      <c r="H27" s="48">
        <f>ROUND(IF(MONTH($A27)=12,2.333,1)*VLOOKUP($A27,'Página7'!$A$1:$AA$27,COLUMN(),TRUE),2)</f>
        <v>11771.99</v>
      </c>
      <c r="I27" s="48">
        <f>ROUND(IF(MONTH($A27)=12,2.333,1)*VLOOKUP($A27,'Página7'!$A$1:$AA$27,COLUMN(),TRUE),2)</f>
        <v>22654.94</v>
      </c>
      <c r="J27" s="48">
        <f t="shared" si="4"/>
        <v>21938.34</v>
      </c>
      <c r="K27" s="48">
        <f>ROUND(IF(MONTH($A27)=12,2.333,1)*VLOOKUP($A27,'Página7'!$A$1:$AA$27,COLUMN(),TRUE),2)</f>
        <v>19971.79</v>
      </c>
      <c r="L27" s="48">
        <f t="shared" si="5"/>
        <v>19685.87</v>
      </c>
      <c r="M27" s="48">
        <f t="shared" si="6"/>
        <v>12093.74</v>
      </c>
      <c r="N27" s="48">
        <f>ROUND(IF(MONTH($A27)=12,2.333,1)*VLOOKUP($A27,'Página7'!$A$1:$AA$27,COLUMN(),TRUE),2)</f>
        <v>17481.71</v>
      </c>
      <c r="O27" s="48">
        <f>ROUND(IF(MONTH($A27)=12,2.333,1)*VLOOKUP($A27,'Página7'!$A$1:$AA$27,COLUMN(),TRUE),2)</f>
        <v>8465.24</v>
      </c>
      <c r="P27" s="48">
        <f>VLOOKUP($A27,'Página7'!$A$1:$AA$27,COLUMN(),TRUE)</f>
        <v>26127.94</v>
      </c>
      <c r="Q27" s="48">
        <f>VLOOKUP($A27,'Página7'!$A$1:$AA$27,COLUMN(),TRUE)</f>
        <v>6451.99</v>
      </c>
      <c r="R27" s="48">
        <f>VLOOKUP($A27,'Página7'!$A$1:$AA$27,COLUMN(),TRUE)</f>
        <v>26127.87</v>
      </c>
      <c r="S27" s="48">
        <f>VLOOKUP($A27,'Página7'!$A$1:$AA$27,COLUMN(),TRUE)</f>
        <v>3000</v>
      </c>
      <c r="T27" s="48">
        <f>VLOOKUP($A27,'Página7'!$A$1:$AA$27,COLUMN(),TRUE)</f>
        <v>15575.17</v>
      </c>
      <c r="U27" s="48">
        <f>VLOOKUP($A27,'Página7'!$A$1:$AA$27,COLUMN(),TRUE)</f>
        <v>1800</v>
      </c>
      <c r="V27" s="48">
        <f>VLOOKUP($A27,'Página7'!$A$1:$AA$27,COLUMN(),TRUE)</f>
        <v>17728.41575</v>
      </c>
      <c r="W27" s="48">
        <f>VLOOKUP($A27,'Página7'!$A$1:$AA$27,COLUMN(),TRUE)</f>
        <v>4677.69275</v>
      </c>
      <c r="X27" s="48">
        <f>VLOOKUP($A27,'Página7'!$A$1:$AA$27,COLUMN(),TRUE)</f>
        <v>17728.365</v>
      </c>
      <c r="Y27" s="48">
        <f>VLOOKUP($A27,'Página7'!$A$1:$AA$27,COLUMN(),TRUE)</f>
        <v>2175</v>
      </c>
      <c r="Z27" s="48">
        <f>VLOOKUP($A27,'Página7'!$A$1:$AA$27,COLUMN(),TRUE)</f>
        <v>10919.2375</v>
      </c>
      <c r="AA27" s="48">
        <f>VLOOKUP($A27,'Página7'!$A$1:$AA$27,COLUMN(),TRUE)</f>
        <v>1305</v>
      </c>
    </row>
    <row r="28">
      <c r="A28" s="34">
        <v>43160.0</v>
      </c>
      <c r="B28" s="48">
        <f>ROUND(IF(MONTH($A28)=12,2.333,1)*VLOOKUP($A28,'Página7'!$A$1:$AA$27,COLUMN(),TRUE),2)</f>
        <v>33763</v>
      </c>
      <c r="C28" s="48">
        <f t="shared" si="1"/>
        <v>31934.73</v>
      </c>
      <c r="D28" s="48">
        <f>ROUND(IF(MONTH($A28)=12,2.333,1)*VLOOKUP($A28,'Página7'!$A$1:$AA$27,COLUMN(),TRUE),2)</f>
        <v>29604.7</v>
      </c>
      <c r="E28" s="48">
        <f t="shared" si="2"/>
        <v>28827.87</v>
      </c>
      <c r="F28" s="48">
        <f t="shared" si="3"/>
        <v>17195.17</v>
      </c>
      <c r="G28" s="48">
        <f>ROUND(IF(MONTH($A28)=12,2.333,1)*VLOOKUP($A28,'Página7'!$A$1:$AA$27,COLUMN(),TRUE),2)</f>
        <v>25745.61</v>
      </c>
      <c r="H28" s="48">
        <f>ROUND(IF(MONTH($A28)=12,2.333,1)*VLOOKUP($A28,'Página7'!$A$1:$AA$27,COLUMN(),TRUE),2)</f>
        <v>11771.99</v>
      </c>
      <c r="I28" s="48">
        <f>ROUND(IF(MONTH($A28)=12,2.333,1)*VLOOKUP($A28,'Página7'!$A$1:$AA$27,COLUMN(),TRUE),2)</f>
        <v>22654.94</v>
      </c>
      <c r="J28" s="48">
        <f t="shared" si="4"/>
        <v>21938.34</v>
      </c>
      <c r="K28" s="48">
        <f>ROUND(IF(MONTH($A28)=12,2.333,1)*VLOOKUP($A28,'Página7'!$A$1:$AA$27,COLUMN(),TRUE),2)</f>
        <v>19971.79</v>
      </c>
      <c r="L28" s="48">
        <f t="shared" si="5"/>
        <v>19685.87</v>
      </c>
      <c r="M28" s="48">
        <f t="shared" si="6"/>
        <v>12093.74</v>
      </c>
      <c r="N28" s="48">
        <f>ROUND(IF(MONTH($A28)=12,2.333,1)*VLOOKUP($A28,'Página7'!$A$1:$AA$27,COLUMN(),TRUE),2)</f>
        <v>17481.71</v>
      </c>
      <c r="O28" s="48">
        <f>ROUND(IF(MONTH($A28)=12,2.333,1)*VLOOKUP($A28,'Página7'!$A$1:$AA$27,COLUMN(),TRUE),2)</f>
        <v>8465.24</v>
      </c>
      <c r="P28" s="48">
        <f>VLOOKUP($A28,'Página7'!$A$1:$AA$27,COLUMN(),TRUE)</f>
        <v>26127.94</v>
      </c>
      <c r="Q28" s="48">
        <f>VLOOKUP($A28,'Página7'!$A$1:$AA$27,COLUMN(),TRUE)</f>
        <v>6451.99</v>
      </c>
      <c r="R28" s="48">
        <f>VLOOKUP($A28,'Página7'!$A$1:$AA$27,COLUMN(),TRUE)</f>
        <v>26127.87</v>
      </c>
      <c r="S28" s="48">
        <f>VLOOKUP($A28,'Página7'!$A$1:$AA$27,COLUMN(),TRUE)</f>
        <v>3000</v>
      </c>
      <c r="T28" s="48">
        <f>VLOOKUP($A28,'Página7'!$A$1:$AA$27,COLUMN(),TRUE)</f>
        <v>15575.17</v>
      </c>
      <c r="U28" s="48">
        <f>VLOOKUP($A28,'Página7'!$A$1:$AA$27,COLUMN(),TRUE)</f>
        <v>1800</v>
      </c>
      <c r="V28" s="48">
        <f>VLOOKUP($A28,'Página7'!$A$1:$AA$27,COLUMN(),TRUE)</f>
        <v>17728.41575</v>
      </c>
      <c r="W28" s="48">
        <f>VLOOKUP($A28,'Página7'!$A$1:$AA$27,COLUMN(),TRUE)</f>
        <v>4677.69275</v>
      </c>
      <c r="X28" s="48">
        <f>VLOOKUP($A28,'Página7'!$A$1:$AA$27,COLUMN(),TRUE)</f>
        <v>17728.365</v>
      </c>
      <c r="Y28" s="48">
        <f>VLOOKUP($A28,'Página7'!$A$1:$AA$27,COLUMN(),TRUE)</f>
        <v>2175</v>
      </c>
      <c r="Z28" s="48">
        <f>VLOOKUP($A28,'Página7'!$A$1:$AA$27,COLUMN(),TRUE)</f>
        <v>10919.2375</v>
      </c>
      <c r="AA28" s="48">
        <f>VLOOKUP($A28,'Página7'!$A$1:$AA$27,COLUMN(),TRUE)</f>
        <v>1305</v>
      </c>
    </row>
    <row r="29">
      <c r="A29" s="34">
        <v>43191.0</v>
      </c>
      <c r="B29" s="48">
        <f>ROUND(IF(MONTH($A29)=12,2.333,1)*VLOOKUP($A29,'Página7'!$A$1:$AA$27,COLUMN(),TRUE),2)</f>
        <v>33763</v>
      </c>
      <c r="C29" s="48">
        <f t="shared" si="1"/>
        <v>31934.73</v>
      </c>
      <c r="D29" s="48">
        <f>ROUND(IF(MONTH($A29)=12,2.333,1)*VLOOKUP($A29,'Página7'!$A$1:$AA$27,COLUMN(),TRUE),2)</f>
        <v>29604.7</v>
      </c>
      <c r="E29" s="48">
        <f t="shared" si="2"/>
        <v>28827.87</v>
      </c>
      <c r="F29" s="48">
        <f t="shared" si="3"/>
        <v>17195.17</v>
      </c>
      <c r="G29" s="48">
        <f>ROUND(IF(MONTH($A29)=12,2.333,1)*VLOOKUP($A29,'Página7'!$A$1:$AA$27,COLUMN(),TRUE),2)</f>
        <v>25745.61</v>
      </c>
      <c r="H29" s="48">
        <f>ROUND(IF(MONTH($A29)=12,2.333,1)*VLOOKUP($A29,'Página7'!$A$1:$AA$27,COLUMN(),TRUE),2)</f>
        <v>11771.99</v>
      </c>
      <c r="I29" s="48">
        <f>ROUND(IF(MONTH($A29)=12,2.333,1)*VLOOKUP($A29,'Página7'!$A$1:$AA$27,COLUMN(),TRUE),2)</f>
        <v>22654.94</v>
      </c>
      <c r="J29" s="48">
        <f t="shared" si="4"/>
        <v>21938.34</v>
      </c>
      <c r="K29" s="48">
        <f>ROUND(IF(MONTH($A29)=12,2.333,1)*VLOOKUP($A29,'Página7'!$A$1:$AA$27,COLUMN(),TRUE),2)</f>
        <v>19971.79</v>
      </c>
      <c r="L29" s="48">
        <f t="shared" si="5"/>
        <v>19685.87</v>
      </c>
      <c r="M29" s="48">
        <f t="shared" si="6"/>
        <v>12093.74</v>
      </c>
      <c r="N29" s="48">
        <f>ROUND(IF(MONTH($A29)=12,2.333,1)*VLOOKUP($A29,'Página7'!$A$1:$AA$27,COLUMN(),TRUE),2)</f>
        <v>17481.71</v>
      </c>
      <c r="O29" s="48">
        <f>ROUND(IF(MONTH($A29)=12,2.333,1)*VLOOKUP($A29,'Página7'!$A$1:$AA$27,COLUMN(),TRUE),2)</f>
        <v>8465.24</v>
      </c>
      <c r="P29" s="48">
        <f>VLOOKUP($A29,'Página7'!$A$1:$AA$27,COLUMN(),TRUE)</f>
        <v>26127.94</v>
      </c>
      <c r="Q29" s="48">
        <f>VLOOKUP($A29,'Página7'!$A$1:$AA$27,COLUMN(),TRUE)</f>
        <v>6451.99</v>
      </c>
      <c r="R29" s="48">
        <f>VLOOKUP($A29,'Página7'!$A$1:$AA$27,COLUMN(),TRUE)</f>
        <v>26127.87</v>
      </c>
      <c r="S29" s="48">
        <f>VLOOKUP($A29,'Página7'!$A$1:$AA$27,COLUMN(),TRUE)</f>
        <v>3000</v>
      </c>
      <c r="T29" s="48">
        <f>VLOOKUP($A29,'Página7'!$A$1:$AA$27,COLUMN(),TRUE)</f>
        <v>15575.17</v>
      </c>
      <c r="U29" s="48">
        <f>VLOOKUP($A29,'Página7'!$A$1:$AA$27,COLUMN(),TRUE)</f>
        <v>1800</v>
      </c>
      <c r="V29" s="48">
        <f>VLOOKUP($A29,'Página7'!$A$1:$AA$27,COLUMN(),TRUE)</f>
        <v>17728.41575</v>
      </c>
      <c r="W29" s="48">
        <f>VLOOKUP($A29,'Página7'!$A$1:$AA$27,COLUMN(),TRUE)</f>
        <v>4677.69275</v>
      </c>
      <c r="X29" s="48">
        <f>VLOOKUP($A29,'Página7'!$A$1:$AA$27,COLUMN(),TRUE)</f>
        <v>17728.365</v>
      </c>
      <c r="Y29" s="48">
        <f>VLOOKUP($A29,'Página7'!$A$1:$AA$27,COLUMN(),TRUE)</f>
        <v>2175</v>
      </c>
      <c r="Z29" s="48">
        <f>VLOOKUP($A29,'Página7'!$A$1:$AA$27,COLUMN(),TRUE)</f>
        <v>10919.2375</v>
      </c>
      <c r="AA29" s="48">
        <f>VLOOKUP($A29,'Página7'!$A$1:$AA$27,COLUMN(),TRUE)</f>
        <v>1305</v>
      </c>
    </row>
    <row r="30">
      <c r="A30" s="34">
        <v>43221.0</v>
      </c>
      <c r="B30" s="48">
        <f>ROUND(IF(MONTH($A30)=12,2.333,1)*VLOOKUP($A30,'Página7'!$A$1:$AA$27,COLUMN(),TRUE),2)</f>
        <v>33763</v>
      </c>
      <c r="C30" s="48">
        <f t="shared" si="1"/>
        <v>31934.73</v>
      </c>
      <c r="D30" s="48">
        <f>ROUND(IF(MONTH($A30)=12,2.333,1)*VLOOKUP($A30,'Página7'!$A$1:$AA$27,COLUMN(),TRUE),2)</f>
        <v>29604.7</v>
      </c>
      <c r="E30" s="48">
        <f t="shared" si="2"/>
        <v>28827.87</v>
      </c>
      <c r="F30" s="48">
        <f t="shared" si="3"/>
        <v>17195.17</v>
      </c>
      <c r="G30" s="48">
        <f>ROUND(IF(MONTH($A30)=12,2.333,1)*VLOOKUP($A30,'Página7'!$A$1:$AA$27,COLUMN(),TRUE),2)</f>
        <v>25745.61</v>
      </c>
      <c r="H30" s="48">
        <f>ROUND(IF(MONTH($A30)=12,2.333,1)*VLOOKUP($A30,'Página7'!$A$1:$AA$27,COLUMN(),TRUE),2)</f>
        <v>11771.99</v>
      </c>
      <c r="I30" s="48">
        <f>ROUND(IF(MONTH($A30)=12,2.333,1)*VLOOKUP($A30,'Página7'!$A$1:$AA$27,COLUMN(),TRUE),2)</f>
        <v>22654.94</v>
      </c>
      <c r="J30" s="48">
        <f t="shared" si="4"/>
        <v>21938.34</v>
      </c>
      <c r="K30" s="48">
        <f>ROUND(IF(MONTH($A30)=12,2.333,1)*VLOOKUP($A30,'Página7'!$A$1:$AA$27,COLUMN(),TRUE),2)</f>
        <v>19971.79</v>
      </c>
      <c r="L30" s="48">
        <f t="shared" si="5"/>
        <v>19685.87</v>
      </c>
      <c r="M30" s="48">
        <f t="shared" si="6"/>
        <v>12093.74</v>
      </c>
      <c r="N30" s="48">
        <f>ROUND(IF(MONTH($A30)=12,2.333,1)*VLOOKUP($A30,'Página7'!$A$1:$AA$27,COLUMN(),TRUE),2)</f>
        <v>17481.71</v>
      </c>
      <c r="O30" s="48">
        <f>ROUND(IF(MONTH($A30)=12,2.333,1)*VLOOKUP($A30,'Página7'!$A$1:$AA$27,COLUMN(),TRUE),2)</f>
        <v>8465.24</v>
      </c>
      <c r="P30" s="48">
        <f>VLOOKUP($A30,'Página7'!$A$1:$AA$27,COLUMN(),TRUE)</f>
        <v>26127.94</v>
      </c>
      <c r="Q30" s="48">
        <f>VLOOKUP($A30,'Página7'!$A$1:$AA$27,COLUMN(),TRUE)</f>
        <v>6451.99</v>
      </c>
      <c r="R30" s="48">
        <f>VLOOKUP($A30,'Página7'!$A$1:$AA$27,COLUMN(),TRUE)</f>
        <v>26127.87</v>
      </c>
      <c r="S30" s="48">
        <f>VLOOKUP($A30,'Página7'!$A$1:$AA$27,COLUMN(),TRUE)</f>
        <v>3000</v>
      </c>
      <c r="T30" s="48">
        <f>VLOOKUP($A30,'Página7'!$A$1:$AA$27,COLUMN(),TRUE)</f>
        <v>15575.17</v>
      </c>
      <c r="U30" s="48">
        <f>VLOOKUP($A30,'Página7'!$A$1:$AA$27,COLUMN(),TRUE)</f>
        <v>1800</v>
      </c>
      <c r="V30" s="48">
        <f>VLOOKUP($A30,'Página7'!$A$1:$AA$27,COLUMN(),TRUE)</f>
        <v>17728.41575</v>
      </c>
      <c r="W30" s="48">
        <f>VLOOKUP($A30,'Página7'!$A$1:$AA$27,COLUMN(),TRUE)</f>
        <v>4677.69275</v>
      </c>
      <c r="X30" s="48">
        <f>VLOOKUP($A30,'Página7'!$A$1:$AA$27,COLUMN(),TRUE)</f>
        <v>17728.365</v>
      </c>
      <c r="Y30" s="48">
        <f>VLOOKUP($A30,'Página7'!$A$1:$AA$27,COLUMN(),TRUE)</f>
        <v>2175</v>
      </c>
      <c r="Z30" s="48">
        <f>VLOOKUP($A30,'Página7'!$A$1:$AA$27,COLUMN(),TRUE)</f>
        <v>10919.2375</v>
      </c>
      <c r="AA30" s="48">
        <f>VLOOKUP($A30,'Página7'!$A$1:$AA$27,COLUMN(),TRUE)</f>
        <v>1305</v>
      </c>
    </row>
    <row r="31">
      <c r="A31" s="34">
        <v>43252.0</v>
      </c>
      <c r="B31" s="48">
        <f>ROUND(IF(MONTH($A31)=12,2.333,1)*VLOOKUP($A31,'Página7'!$A$1:$AA$27,COLUMN(),TRUE),2)</f>
        <v>33763</v>
      </c>
      <c r="C31" s="48">
        <f t="shared" si="1"/>
        <v>31934.73</v>
      </c>
      <c r="D31" s="48">
        <f>ROUND(IF(MONTH($A31)=12,2.333,1)*VLOOKUP($A31,'Página7'!$A$1:$AA$27,COLUMN(),TRUE),2)</f>
        <v>29604.7</v>
      </c>
      <c r="E31" s="48">
        <f t="shared" si="2"/>
        <v>28827.87</v>
      </c>
      <c r="F31" s="48">
        <f t="shared" si="3"/>
        <v>17195.17</v>
      </c>
      <c r="G31" s="48">
        <f>ROUND(IF(MONTH($A31)=12,2.333,1)*VLOOKUP($A31,'Página7'!$A$1:$AA$27,COLUMN(),TRUE),2)</f>
        <v>25745.61</v>
      </c>
      <c r="H31" s="48">
        <f>ROUND(IF(MONTH($A31)=12,2.333,1)*VLOOKUP($A31,'Página7'!$A$1:$AA$27,COLUMN(),TRUE),2)</f>
        <v>11771.99</v>
      </c>
      <c r="I31" s="48">
        <f>ROUND(IF(MONTH($A31)=12,2.333,1)*VLOOKUP($A31,'Página7'!$A$1:$AA$27,COLUMN(),TRUE),2)</f>
        <v>22654.94</v>
      </c>
      <c r="J31" s="48">
        <f t="shared" si="4"/>
        <v>21938.34</v>
      </c>
      <c r="K31" s="48">
        <f>ROUND(IF(MONTH($A31)=12,2.333,1)*VLOOKUP($A31,'Página7'!$A$1:$AA$27,COLUMN(),TRUE),2)</f>
        <v>19971.79</v>
      </c>
      <c r="L31" s="48">
        <f t="shared" si="5"/>
        <v>19685.87</v>
      </c>
      <c r="M31" s="48">
        <f t="shared" si="6"/>
        <v>12093.74</v>
      </c>
      <c r="N31" s="48">
        <f>ROUND(IF(MONTH($A31)=12,2.333,1)*VLOOKUP($A31,'Página7'!$A$1:$AA$27,COLUMN(),TRUE),2)</f>
        <v>17481.71</v>
      </c>
      <c r="O31" s="48">
        <f>ROUND(IF(MONTH($A31)=12,2.333,1)*VLOOKUP($A31,'Página7'!$A$1:$AA$27,COLUMN(),TRUE),2)</f>
        <v>8465.24</v>
      </c>
      <c r="P31" s="48">
        <f>VLOOKUP($A31,'Página7'!$A$1:$AA$27,COLUMN(),TRUE)</f>
        <v>26127.94</v>
      </c>
      <c r="Q31" s="48">
        <f>VLOOKUP($A31,'Página7'!$A$1:$AA$27,COLUMN(),TRUE)</f>
        <v>6451.99</v>
      </c>
      <c r="R31" s="48">
        <f>VLOOKUP($A31,'Página7'!$A$1:$AA$27,COLUMN(),TRUE)</f>
        <v>26127.87</v>
      </c>
      <c r="S31" s="48">
        <f>VLOOKUP($A31,'Página7'!$A$1:$AA$27,COLUMN(),TRUE)</f>
        <v>3000</v>
      </c>
      <c r="T31" s="48">
        <f>VLOOKUP($A31,'Página7'!$A$1:$AA$27,COLUMN(),TRUE)</f>
        <v>15575.17</v>
      </c>
      <c r="U31" s="48">
        <f>VLOOKUP($A31,'Página7'!$A$1:$AA$27,COLUMN(),TRUE)</f>
        <v>1800</v>
      </c>
      <c r="V31" s="48">
        <f>VLOOKUP($A31,'Página7'!$A$1:$AA$27,COLUMN(),TRUE)</f>
        <v>17728.41575</v>
      </c>
      <c r="W31" s="48">
        <f>VLOOKUP($A31,'Página7'!$A$1:$AA$27,COLUMN(),TRUE)</f>
        <v>4677.69275</v>
      </c>
      <c r="X31" s="48">
        <f>VLOOKUP($A31,'Página7'!$A$1:$AA$27,COLUMN(),TRUE)</f>
        <v>17728.365</v>
      </c>
      <c r="Y31" s="48">
        <f>VLOOKUP($A31,'Página7'!$A$1:$AA$27,COLUMN(),TRUE)</f>
        <v>2175</v>
      </c>
      <c r="Z31" s="48">
        <f>VLOOKUP($A31,'Página7'!$A$1:$AA$27,COLUMN(),TRUE)</f>
        <v>10919.2375</v>
      </c>
      <c r="AA31" s="48">
        <f>VLOOKUP($A31,'Página7'!$A$1:$AA$27,COLUMN(),TRUE)</f>
        <v>1305</v>
      </c>
    </row>
    <row r="32">
      <c r="A32" s="34">
        <v>43282.0</v>
      </c>
      <c r="B32" s="48">
        <f>ROUND(IF(MONTH($A32)=12,2.333,1)*VLOOKUP($A32,'Página7'!$A$1:$AA$27,COLUMN(),TRUE),2)</f>
        <v>33763</v>
      </c>
      <c r="C32" s="48">
        <f t="shared" si="1"/>
        <v>31934.73</v>
      </c>
      <c r="D32" s="48">
        <f>ROUND(IF(MONTH($A32)=12,2.333,1)*VLOOKUP($A32,'Página7'!$A$1:$AA$27,COLUMN(),TRUE),2)</f>
        <v>29604.7</v>
      </c>
      <c r="E32" s="48">
        <f t="shared" si="2"/>
        <v>28827.87</v>
      </c>
      <c r="F32" s="48">
        <f t="shared" si="3"/>
        <v>17195.17</v>
      </c>
      <c r="G32" s="48">
        <f>ROUND(IF(MONTH($A32)=12,2.333,1)*VLOOKUP($A32,'Página7'!$A$1:$AA$27,COLUMN(),TRUE),2)</f>
        <v>25745.61</v>
      </c>
      <c r="H32" s="48">
        <f>ROUND(IF(MONTH($A32)=12,2.333,1)*VLOOKUP($A32,'Página7'!$A$1:$AA$27,COLUMN(),TRUE),2)</f>
        <v>11771.99</v>
      </c>
      <c r="I32" s="48">
        <f>ROUND(IF(MONTH($A32)=12,2.333,1)*VLOOKUP($A32,'Página7'!$A$1:$AA$27,COLUMN(),TRUE),2)</f>
        <v>22654.94</v>
      </c>
      <c r="J32" s="48">
        <f t="shared" si="4"/>
        <v>21938.34</v>
      </c>
      <c r="K32" s="48">
        <f>ROUND(IF(MONTH($A32)=12,2.333,1)*VLOOKUP($A32,'Página7'!$A$1:$AA$27,COLUMN(),TRUE),2)</f>
        <v>19971.79</v>
      </c>
      <c r="L32" s="48">
        <f t="shared" si="5"/>
        <v>19685.87</v>
      </c>
      <c r="M32" s="48">
        <f t="shared" si="6"/>
        <v>12093.74</v>
      </c>
      <c r="N32" s="48">
        <f>ROUND(IF(MONTH($A32)=12,2.333,1)*VLOOKUP($A32,'Página7'!$A$1:$AA$27,COLUMN(),TRUE),2)</f>
        <v>17481.71</v>
      </c>
      <c r="O32" s="48">
        <f>ROUND(IF(MONTH($A32)=12,2.333,1)*VLOOKUP($A32,'Página7'!$A$1:$AA$27,COLUMN(),TRUE),2)</f>
        <v>8465.24</v>
      </c>
      <c r="P32" s="48">
        <f>VLOOKUP($A32,'Página7'!$A$1:$AA$27,COLUMN(),TRUE)</f>
        <v>26127.94</v>
      </c>
      <c r="Q32" s="48">
        <f>VLOOKUP($A32,'Página7'!$A$1:$AA$27,COLUMN(),TRUE)</f>
        <v>6451.99</v>
      </c>
      <c r="R32" s="48">
        <f>VLOOKUP($A32,'Página7'!$A$1:$AA$27,COLUMN(),TRUE)</f>
        <v>26127.87</v>
      </c>
      <c r="S32" s="48">
        <f>VLOOKUP($A32,'Página7'!$A$1:$AA$27,COLUMN(),TRUE)</f>
        <v>3000</v>
      </c>
      <c r="T32" s="48">
        <f>VLOOKUP($A32,'Página7'!$A$1:$AA$27,COLUMN(),TRUE)</f>
        <v>15575.17</v>
      </c>
      <c r="U32" s="48">
        <f>VLOOKUP($A32,'Página7'!$A$1:$AA$27,COLUMN(),TRUE)</f>
        <v>1800</v>
      </c>
      <c r="V32" s="48">
        <f>VLOOKUP($A32,'Página7'!$A$1:$AA$27,COLUMN(),TRUE)</f>
        <v>17728.41575</v>
      </c>
      <c r="W32" s="48">
        <f>VLOOKUP($A32,'Página7'!$A$1:$AA$27,COLUMN(),TRUE)</f>
        <v>4677.69275</v>
      </c>
      <c r="X32" s="48">
        <f>VLOOKUP($A32,'Página7'!$A$1:$AA$27,COLUMN(),TRUE)</f>
        <v>17728.365</v>
      </c>
      <c r="Y32" s="48">
        <f>VLOOKUP($A32,'Página7'!$A$1:$AA$27,COLUMN(),TRUE)</f>
        <v>2175</v>
      </c>
      <c r="Z32" s="48">
        <f>VLOOKUP($A32,'Página7'!$A$1:$AA$27,COLUMN(),TRUE)</f>
        <v>10919.2375</v>
      </c>
      <c r="AA32" s="48">
        <f>VLOOKUP($A32,'Página7'!$A$1:$AA$27,COLUMN(),TRUE)</f>
        <v>1305</v>
      </c>
    </row>
    <row r="33">
      <c r="A33" s="34">
        <v>43313.0</v>
      </c>
      <c r="B33" s="48">
        <f>ROUND(IF(MONTH($A33)=12,2.333,1)*VLOOKUP($A33,'Página7'!$A$1:$AA$27,COLUMN(),TRUE),2)</f>
        <v>33763</v>
      </c>
      <c r="C33" s="48">
        <f t="shared" si="1"/>
        <v>31934.73</v>
      </c>
      <c r="D33" s="48">
        <f>ROUND(IF(MONTH($A33)=12,2.333,1)*VLOOKUP($A33,'Página7'!$A$1:$AA$27,COLUMN(),TRUE),2)</f>
        <v>29604.7</v>
      </c>
      <c r="E33" s="48">
        <f t="shared" si="2"/>
        <v>28827.87</v>
      </c>
      <c r="F33" s="48">
        <f t="shared" si="3"/>
        <v>17195.17</v>
      </c>
      <c r="G33" s="48">
        <f>ROUND(IF(MONTH($A33)=12,2.333,1)*VLOOKUP($A33,'Página7'!$A$1:$AA$27,COLUMN(),TRUE),2)</f>
        <v>25745.61</v>
      </c>
      <c r="H33" s="48">
        <f>ROUND(IF(MONTH($A33)=12,2.333,1)*VLOOKUP($A33,'Página7'!$A$1:$AA$27,COLUMN(),TRUE),2)</f>
        <v>11771.99</v>
      </c>
      <c r="I33" s="48">
        <f>ROUND(IF(MONTH($A33)=12,2.333,1)*VLOOKUP($A33,'Página7'!$A$1:$AA$27,COLUMN(),TRUE),2)</f>
        <v>22654.94</v>
      </c>
      <c r="J33" s="48">
        <f t="shared" si="4"/>
        <v>21938.34</v>
      </c>
      <c r="K33" s="48">
        <f>ROUND(IF(MONTH($A33)=12,2.333,1)*VLOOKUP($A33,'Página7'!$A$1:$AA$27,COLUMN(),TRUE),2)</f>
        <v>19971.79</v>
      </c>
      <c r="L33" s="48">
        <f t="shared" si="5"/>
        <v>19685.87</v>
      </c>
      <c r="M33" s="48">
        <f t="shared" si="6"/>
        <v>12093.74</v>
      </c>
      <c r="N33" s="48">
        <f>ROUND(IF(MONTH($A33)=12,2.333,1)*VLOOKUP($A33,'Página7'!$A$1:$AA$27,COLUMN(),TRUE),2)</f>
        <v>17481.71</v>
      </c>
      <c r="O33" s="48">
        <f>ROUND(IF(MONTH($A33)=12,2.333,1)*VLOOKUP($A33,'Página7'!$A$1:$AA$27,COLUMN(),TRUE),2)</f>
        <v>8465.24</v>
      </c>
      <c r="P33" s="48">
        <f>VLOOKUP($A33,'Página7'!$A$1:$AA$27,COLUMN(),TRUE)</f>
        <v>26127.94</v>
      </c>
      <c r="Q33" s="48">
        <f>VLOOKUP($A33,'Página7'!$A$1:$AA$27,COLUMN(),TRUE)</f>
        <v>6451.99</v>
      </c>
      <c r="R33" s="48">
        <f>VLOOKUP($A33,'Página7'!$A$1:$AA$27,COLUMN(),TRUE)</f>
        <v>26127.87</v>
      </c>
      <c r="S33" s="48">
        <f>VLOOKUP($A33,'Página7'!$A$1:$AA$27,COLUMN(),TRUE)</f>
        <v>3000</v>
      </c>
      <c r="T33" s="48">
        <f>VLOOKUP($A33,'Página7'!$A$1:$AA$27,COLUMN(),TRUE)</f>
        <v>15575.17</v>
      </c>
      <c r="U33" s="48">
        <f>VLOOKUP($A33,'Página7'!$A$1:$AA$27,COLUMN(),TRUE)</f>
        <v>1800</v>
      </c>
      <c r="V33" s="48">
        <f>VLOOKUP($A33,'Página7'!$A$1:$AA$27,COLUMN(),TRUE)</f>
        <v>17728.41575</v>
      </c>
      <c r="W33" s="48">
        <f>VLOOKUP($A33,'Página7'!$A$1:$AA$27,COLUMN(),TRUE)</f>
        <v>4677.69275</v>
      </c>
      <c r="X33" s="48">
        <f>VLOOKUP($A33,'Página7'!$A$1:$AA$27,COLUMN(),TRUE)</f>
        <v>17728.365</v>
      </c>
      <c r="Y33" s="48">
        <f>VLOOKUP($A33,'Página7'!$A$1:$AA$27,COLUMN(),TRUE)</f>
        <v>2175</v>
      </c>
      <c r="Z33" s="48">
        <f>VLOOKUP($A33,'Página7'!$A$1:$AA$27,COLUMN(),TRUE)</f>
        <v>10919.2375</v>
      </c>
      <c r="AA33" s="48">
        <f>VLOOKUP($A33,'Página7'!$A$1:$AA$27,COLUMN(),TRUE)</f>
        <v>1305</v>
      </c>
    </row>
    <row r="34">
      <c r="A34" s="34">
        <v>43344.0</v>
      </c>
      <c r="B34" s="48">
        <f>ROUND(IF(MONTH($A34)=12,2.333,1)*VLOOKUP($A34,'Página7'!$A$1:$AA$27,COLUMN(),TRUE),2)</f>
        <v>33763</v>
      </c>
      <c r="C34" s="48">
        <f t="shared" si="1"/>
        <v>31934.73</v>
      </c>
      <c r="D34" s="48">
        <f>ROUND(IF(MONTH($A34)=12,2.333,1)*VLOOKUP($A34,'Página7'!$A$1:$AA$27,COLUMN(),TRUE),2)</f>
        <v>29604.7</v>
      </c>
      <c r="E34" s="48">
        <f t="shared" si="2"/>
        <v>28827.87</v>
      </c>
      <c r="F34" s="48">
        <f t="shared" si="3"/>
        <v>17195.17</v>
      </c>
      <c r="G34" s="48">
        <f>ROUND(IF(MONTH($A34)=12,2.333,1)*VLOOKUP($A34,'Página7'!$A$1:$AA$27,COLUMN(),TRUE),2)</f>
        <v>25745.61</v>
      </c>
      <c r="H34" s="48">
        <f>ROUND(IF(MONTH($A34)=12,2.333,1)*VLOOKUP($A34,'Página7'!$A$1:$AA$27,COLUMN(),TRUE),2)</f>
        <v>11771.99</v>
      </c>
      <c r="I34" s="48">
        <f>ROUND(IF(MONTH($A34)=12,2.333,1)*VLOOKUP($A34,'Página7'!$A$1:$AA$27,COLUMN(),TRUE),2)</f>
        <v>22654.94</v>
      </c>
      <c r="J34" s="48">
        <f t="shared" si="4"/>
        <v>21938.34</v>
      </c>
      <c r="K34" s="48">
        <f>ROUND(IF(MONTH($A34)=12,2.333,1)*VLOOKUP($A34,'Página7'!$A$1:$AA$27,COLUMN(),TRUE),2)</f>
        <v>19971.79</v>
      </c>
      <c r="L34" s="48">
        <f t="shared" si="5"/>
        <v>19685.87</v>
      </c>
      <c r="M34" s="48">
        <f t="shared" si="6"/>
        <v>12093.74</v>
      </c>
      <c r="N34" s="48">
        <f>ROUND(IF(MONTH($A34)=12,2.333,1)*VLOOKUP($A34,'Página7'!$A$1:$AA$27,COLUMN(),TRUE),2)</f>
        <v>17481.71</v>
      </c>
      <c r="O34" s="48">
        <f>ROUND(IF(MONTH($A34)=12,2.333,1)*VLOOKUP($A34,'Página7'!$A$1:$AA$27,COLUMN(),TRUE),2)</f>
        <v>8465.24</v>
      </c>
      <c r="P34" s="48">
        <f>VLOOKUP($A34,'Página7'!$A$1:$AA$27,COLUMN(),TRUE)</f>
        <v>26127.94</v>
      </c>
      <c r="Q34" s="48">
        <f>VLOOKUP($A34,'Página7'!$A$1:$AA$27,COLUMN(),TRUE)</f>
        <v>6451.99</v>
      </c>
      <c r="R34" s="48">
        <f>VLOOKUP($A34,'Página7'!$A$1:$AA$27,COLUMN(),TRUE)</f>
        <v>26127.87</v>
      </c>
      <c r="S34" s="48">
        <f>VLOOKUP($A34,'Página7'!$A$1:$AA$27,COLUMN(),TRUE)</f>
        <v>3000</v>
      </c>
      <c r="T34" s="48">
        <f>VLOOKUP($A34,'Página7'!$A$1:$AA$27,COLUMN(),TRUE)</f>
        <v>15575.17</v>
      </c>
      <c r="U34" s="48">
        <f>VLOOKUP($A34,'Página7'!$A$1:$AA$27,COLUMN(),TRUE)</f>
        <v>1800</v>
      </c>
      <c r="V34" s="48">
        <f>VLOOKUP($A34,'Página7'!$A$1:$AA$27,COLUMN(),TRUE)</f>
        <v>17728.41575</v>
      </c>
      <c r="W34" s="48">
        <f>VLOOKUP($A34,'Página7'!$A$1:$AA$27,COLUMN(),TRUE)</f>
        <v>4677.69275</v>
      </c>
      <c r="X34" s="48">
        <f>VLOOKUP($A34,'Página7'!$A$1:$AA$27,COLUMN(),TRUE)</f>
        <v>17728.365</v>
      </c>
      <c r="Y34" s="48">
        <f>VLOOKUP($A34,'Página7'!$A$1:$AA$27,COLUMN(),TRUE)</f>
        <v>2175</v>
      </c>
      <c r="Z34" s="48">
        <f>VLOOKUP($A34,'Página7'!$A$1:$AA$27,COLUMN(),TRUE)</f>
        <v>10919.2375</v>
      </c>
      <c r="AA34" s="48">
        <f>VLOOKUP($A34,'Página7'!$A$1:$AA$27,COLUMN(),TRUE)</f>
        <v>1305</v>
      </c>
    </row>
    <row r="35">
      <c r="A35" s="34">
        <v>43374.0</v>
      </c>
      <c r="B35" s="48">
        <f>ROUND(IF(MONTH($A35)=12,2.333,1)*VLOOKUP($A35,'Página7'!$A$1:$AA$27,COLUMN(),TRUE),2)</f>
        <v>33763</v>
      </c>
      <c r="C35" s="48">
        <f t="shared" si="1"/>
        <v>31934.73</v>
      </c>
      <c r="D35" s="48">
        <f>ROUND(IF(MONTH($A35)=12,2.333,1)*VLOOKUP($A35,'Página7'!$A$1:$AA$27,COLUMN(),TRUE),2)</f>
        <v>29604.7</v>
      </c>
      <c r="E35" s="48">
        <f t="shared" si="2"/>
        <v>28827.87</v>
      </c>
      <c r="F35" s="48">
        <f t="shared" si="3"/>
        <v>17195.17</v>
      </c>
      <c r="G35" s="48">
        <f>ROUND(IF(MONTH($A35)=12,2.333,1)*VLOOKUP($A35,'Página7'!$A$1:$AA$27,COLUMN(),TRUE),2)</f>
        <v>25745.61</v>
      </c>
      <c r="H35" s="48">
        <f>ROUND(IF(MONTH($A35)=12,2.333,1)*VLOOKUP($A35,'Página7'!$A$1:$AA$27,COLUMN(),TRUE),2)</f>
        <v>11771.99</v>
      </c>
      <c r="I35" s="48">
        <f>ROUND(IF(MONTH($A35)=12,2.333,1)*VLOOKUP($A35,'Página7'!$A$1:$AA$27,COLUMN(),TRUE),2)</f>
        <v>22654.94</v>
      </c>
      <c r="J35" s="48">
        <f t="shared" si="4"/>
        <v>21938.34</v>
      </c>
      <c r="K35" s="48">
        <f>ROUND(IF(MONTH($A35)=12,2.333,1)*VLOOKUP($A35,'Página7'!$A$1:$AA$27,COLUMN(),TRUE),2)</f>
        <v>19971.79</v>
      </c>
      <c r="L35" s="48">
        <f t="shared" si="5"/>
        <v>19685.87</v>
      </c>
      <c r="M35" s="48">
        <f t="shared" si="6"/>
        <v>12093.74</v>
      </c>
      <c r="N35" s="48">
        <f>ROUND(IF(MONTH($A35)=12,2.333,1)*VLOOKUP($A35,'Página7'!$A$1:$AA$27,COLUMN(),TRUE),2)</f>
        <v>17481.71</v>
      </c>
      <c r="O35" s="48">
        <f>ROUND(IF(MONTH($A35)=12,2.333,1)*VLOOKUP($A35,'Página7'!$A$1:$AA$27,COLUMN(),TRUE),2)</f>
        <v>8465.24</v>
      </c>
      <c r="P35" s="48">
        <f>VLOOKUP($A35,'Página7'!$A$1:$AA$27,COLUMN(),TRUE)</f>
        <v>26127.94</v>
      </c>
      <c r="Q35" s="48">
        <f>VLOOKUP($A35,'Página7'!$A$1:$AA$27,COLUMN(),TRUE)</f>
        <v>6451.99</v>
      </c>
      <c r="R35" s="48">
        <f>VLOOKUP($A35,'Página7'!$A$1:$AA$27,COLUMN(),TRUE)</f>
        <v>26127.87</v>
      </c>
      <c r="S35" s="48">
        <f>VLOOKUP($A35,'Página7'!$A$1:$AA$27,COLUMN(),TRUE)</f>
        <v>3000</v>
      </c>
      <c r="T35" s="48">
        <f>VLOOKUP($A35,'Página7'!$A$1:$AA$27,COLUMN(),TRUE)</f>
        <v>15575.17</v>
      </c>
      <c r="U35" s="48">
        <f>VLOOKUP($A35,'Página7'!$A$1:$AA$27,COLUMN(),TRUE)</f>
        <v>1800</v>
      </c>
      <c r="V35" s="48">
        <f>VLOOKUP($A35,'Página7'!$A$1:$AA$27,COLUMN(),TRUE)</f>
        <v>17728.41575</v>
      </c>
      <c r="W35" s="48">
        <f>VLOOKUP($A35,'Página7'!$A$1:$AA$27,COLUMN(),TRUE)</f>
        <v>4677.69275</v>
      </c>
      <c r="X35" s="48">
        <f>VLOOKUP($A35,'Página7'!$A$1:$AA$27,COLUMN(),TRUE)</f>
        <v>17728.365</v>
      </c>
      <c r="Y35" s="48">
        <f>VLOOKUP($A35,'Página7'!$A$1:$AA$27,COLUMN(),TRUE)</f>
        <v>2175</v>
      </c>
      <c r="Z35" s="48">
        <f>VLOOKUP($A35,'Página7'!$A$1:$AA$27,COLUMN(),TRUE)</f>
        <v>10919.2375</v>
      </c>
      <c r="AA35" s="48">
        <f>VLOOKUP($A35,'Página7'!$A$1:$AA$27,COLUMN(),TRUE)</f>
        <v>1305</v>
      </c>
    </row>
    <row r="36">
      <c r="A36" s="34">
        <v>43405.0</v>
      </c>
      <c r="B36" s="48">
        <f>ROUND(IF(MONTH($A36)=12,2.333,1)*VLOOKUP($A36,'Página7'!$A$1:$AA$27,COLUMN(),TRUE),2)</f>
        <v>33763</v>
      </c>
      <c r="C36" s="48">
        <f t="shared" si="1"/>
        <v>31934.73</v>
      </c>
      <c r="D36" s="48">
        <f>ROUND(IF(MONTH($A36)=12,2.333,1)*VLOOKUP($A36,'Página7'!$A$1:$AA$27,COLUMN(),TRUE),2)</f>
        <v>29604.7</v>
      </c>
      <c r="E36" s="48">
        <f t="shared" si="2"/>
        <v>28827.87</v>
      </c>
      <c r="F36" s="48">
        <f t="shared" si="3"/>
        <v>17195.17</v>
      </c>
      <c r="G36" s="48">
        <f>ROUND(IF(MONTH($A36)=12,2.333,1)*VLOOKUP($A36,'Página7'!$A$1:$AA$27,COLUMN(),TRUE),2)</f>
        <v>25745.61</v>
      </c>
      <c r="H36" s="48">
        <f>ROUND(IF(MONTH($A36)=12,2.333,1)*VLOOKUP($A36,'Página7'!$A$1:$AA$27,COLUMN(),TRUE),2)</f>
        <v>11771.99</v>
      </c>
      <c r="I36" s="48">
        <f>ROUND(IF(MONTH($A36)=12,2.333,1)*VLOOKUP($A36,'Página7'!$A$1:$AA$27,COLUMN(),TRUE),2)</f>
        <v>22654.94</v>
      </c>
      <c r="J36" s="48">
        <f t="shared" si="4"/>
        <v>21938.34</v>
      </c>
      <c r="K36" s="48">
        <f>ROUND(IF(MONTH($A36)=12,2.333,1)*VLOOKUP($A36,'Página7'!$A$1:$AA$27,COLUMN(),TRUE),2)</f>
        <v>19971.79</v>
      </c>
      <c r="L36" s="48">
        <f t="shared" si="5"/>
        <v>19685.87</v>
      </c>
      <c r="M36" s="48">
        <f t="shared" si="6"/>
        <v>12093.74</v>
      </c>
      <c r="N36" s="48">
        <f>ROUND(IF(MONTH($A36)=12,2.333,1)*VLOOKUP($A36,'Página7'!$A$1:$AA$27,COLUMN(),TRUE),2)</f>
        <v>17481.71</v>
      </c>
      <c r="O36" s="48">
        <f>ROUND(IF(MONTH($A36)=12,2.333,1)*VLOOKUP($A36,'Página7'!$A$1:$AA$27,COLUMN(),TRUE),2)</f>
        <v>8465.24</v>
      </c>
      <c r="P36" s="48">
        <f>VLOOKUP($A36,'Página7'!$A$1:$AA$27,COLUMN(),TRUE)</f>
        <v>26127.94</v>
      </c>
      <c r="Q36" s="48">
        <f>VLOOKUP($A36,'Página7'!$A$1:$AA$27,COLUMN(),TRUE)</f>
        <v>6451.99</v>
      </c>
      <c r="R36" s="48">
        <f>VLOOKUP($A36,'Página7'!$A$1:$AA$27,COLUMN(),TRUE)</f>
        <v>26127.87</v>
      </c>
      <c r="S36" s="48">
        <f>VLOOKUP($A36,'Página7'!$A$1:$AA$27,COLUMN(),TRUE)</f>
        <v>3000</v>
      </c>
      <c r="T36" s="48">
        <f>VLOOKUP($A36,'Página7'!$A$1:$AA$27,COLUMN(),TRUE)</f>
        <v>15575.17</v>
      </c>
      <c r="U36" s="48">
        <f>VLOOKUP($A36,'Página7'!$A$1:$AA$27,COLUMN(),TRUE)</f>
        <v>1800</v>
      </c>
      <c r="V36" s="48">
        <f>VLOOKUP($A36,'Página7'!$A$1:$AA$27,COLUMN(),TRUE)</f>
        <v>17728.41575</v>
      </c>
      <c r="W36" s="48">
        <f>VLOOKUP($A36,'Página7'!$A$1:$AA$27,COLUMN(),TRUE)</f>
        <v>4677.69275</v>
      </c>
      <c r="X36" s="48">
        <f>VLOOKUP($A36,'Página7'!$A$1:$AA$27,COLUMN(),TRUE)</f>
        <v>17728.365</v>
      </c>
      <c r="Y36" s="48">
        <f>VLOOKUP($A36,'Página7'!$A$1:$AA$27,COLUMN(),TRUE)</f>
        <v>2175</v>
      </c>
      <c r="Z36" s="48">
        <f>VLOOKUP($A36,'Página7'!$A$1:$AA$27,COLUMN(),TRUE)</f>
        <v>10919.2375</v>
      </c>
      <c r="AA36" s="48">
        <f>VLOOKUP($A36,'Página7'!$A$1:$AA$27,COLUMN(),TRUE)</f>
        <v>1305</v>
      </c>
    </row>
    <row r="37">
      <c r="A37" s="34">
        <v>43435.0</v>
      </c>
      <c r="B37" s="48">
        <f>ROUND(IF(MONTH($A37)=12,2.333,1)*VLOOKUP($A37,'Página7'!$A$1:$AA$27,COLUMN(),TRUE),2)</f>
        <v>91671.32</v>
      </c>
      <c r="C37" s="48">
        <f t="shared" si="1"/>
        <v>75724.28</v>
      </c>
      <c r="D37" s="48">
        <f>ROUND(IF(MONTH($A37)=12,2.333,1)*VLOOKUP($A37,'Página7'!$A$1:$AA$27,COLUMN(),TRUE),2)</f>
        <v>69067.77</v>
      </c>
      <c r="E37" s="48">
        <f t="shared" si="2"/>
        <v>67255.42</v>
      </c>
      <c r="F37" s="48">
        <f t="shared" si="3"/>
        <v>40116.33</v>
      </c>
      <c r="G37" s="48">
        <f>ROUND(IF(MONTH($A37)=12,2.333,1)*VLOOKUP($A37,'Página7'!$A$1:$AA$27,COLUMN(),TRUE),2)</f>
        <v>60064.51</v>
      </c>
      <c r="H37" s="48">
        <f>ROUND(IF(MONTH($A37)=12,2.333,1)*VLOOKUP($A37,'Página7'!$A$1:$AA$27,COLUMN(),TRUE),2)</f>
        <v>27464.05</v>
      </c>
      <c r="I37" s="48">
        <f>ROUND(IF(MONTH($A37)=12,2.333,1)*VLOOKUP($A37,'Página7'!$A$1:$AA$27,COLUMN(),TRUE),2)</f>
        <v>61179.13</v>
      </c>
      <c r="J37" s="48">
        <f t="shared" si="4"/>
        <v>52067.04</v>
      </c>
      <c r="K37" s="48">
        <f>ROUND(IF(MONTH($A37)=12,2.333,1)*VLOOKUP($A37,'Página7'!$A$1:$AA$27,COLUMN(),TRUE),2)</f>
        <v>46594.19</v>
      </c>
      <c r="L37" s="48">
        <f t="shared" si="5"/>
        <v>45927.12</v>
      </c>
      <c r="M37" s="48">
        <f t="shared" si="6"/>
        <v>28214.69</v>
      </c>
      <c r="N37" s="48">
        <f>ROUND(IF(MONTH($A37)=12,2.333,1)*VLOOKUP($A37,'Página7'!$A$1:$AA$27,COLUMN(),TRUE),2)</f>
        <v>40784.84</v>
      </c>
      <c r="O37" s="48">
        <f>ROUND(IF(MONTH($A37)=12,2.333,1)*VLOOKUP($A37,'Página7'!$A$1:$AA$27,COLUMN(),TRUE),2)</f>
        <v>19749.4</v>
      </c>
      <c r="P37" s="48">
        <f>VLOOKUP($A37,'Página7'!$A$1:$AA$27,COLUMN(),TRUE)</f>
        <v>26127.94</v>
      </c>
      <c r="Q37" s="48">
        <f>VLOOKUP($A37,'Página7'!$A$1:$AA$27,COLUMN(),TRUE)</f>
        <v>7033.29</v>
      </c>
      <c r="R37" s="48">
        <f>VLOOKUP($A37,'Página7'!$A$1:$AA$27,COLUMN(),TRUE)</f>
        <v>26127.87</v>
      </c>
      <c r="S37" s="48">
        <f>VLOOKUP($A37,'Página7'!$A$1:$AA$27,COLUMN(),TRUE)</f>
        <v>3000</v>
      </c>
      <c r="T37" s="48">
        <f>VLOOKUP($A37,'Página7'!$A$1:$AA$27,COLUMN(),TRUE)</f>
        <v>15575.17</v>
      </c>
      <c r="U37" s="48">
        <f>VLOOKUP($A37,'Página7'!$A$1:$AA$27,COLUMN(),TRUE)</f>
        <v>1800</v>
      </c>
      <c r="V37" s="48">
        <f>VLOOKUP($A37,'Página7'!$A$1:$AA$27,COLUMN(),TRUE)</f>
        <v>17728.41575</v>
      </c>
      <c r="W37" s="48">
        <f>VLOOKUP($A37,'Página7'!$A$1:$AA$27,COLUMN(),TRUE)</f>
        <v>5099.13525</v>
      </c>
      <c r="X37" s="48">
        <f>VLOOKUP($A37,'Página7'!$A$1:$AA$27,COLUMN(),TRUE)</f>
        <v>17728.365</v>
      </c>
      <c r="Y37" s="48">
        <f>VLOOKUP($A37,'Página7'!$A$1:$AA$27,COLUMN(),TRUE)</f>
        <v>2175</v>
      </c>
      <c r="Z37" s="48">
        <f>VLOOKUP($A37,'Página7'!$A$1:$AA$27,COLUMN(),TRUE)</f>
        <v>10919.2375</v>
      </c>
      <c r="AA37" s="48">
        <f>VLOOKUP($A37,'Página7'!$A$1:$AA$27,COLUMN(),TRUE)</f>
        <v>1305</v>
      </c>
    </row>
    <row r="38">
      <c r="A38" s="34">
        <v>43466.0</v>
      </c>
      <c r="B38" s="48">
        <f>ROUND(IF(MONTH($A38)=12,2.333,1)*VLOOKUP($A38,'Página7'!$A$1:$AA$27,COLUMN(),TRUE),2)</f>
        <v>39293.32</v>
      </c>
      <c r="C38" s="48">
        <f t="shared" si="1"/>
        <v>33798.42</v>
      </c>
      <c r="D38" s="48">
        <f>ROUND(IF(MONTH($A38)=12,2.333,1)*VLOOKUP($A38,'Página7'!$A$1:$AA$27,COLUMN(),TRUE),2)</f>
        <v>30936.91</v>
      </c>
      <c r="E38" s="48">
        <f t="shared" si="2"/>
        <v>30003.62</v>
      </c>
      <c r="F38" s="48">
        <f t="shared" si="3"/>
        <v>17896.05</v>
      </c>
      <c r="G38" s="48">
        <f>ROUND(IF(MONTH($A38)=12,2.333,1)*VLOOKUP($A38,'Página7'!$A$1:$AA$27,COLUMN(),TRUE),2)</f>
        <v>27369.67</v>
      </c>
      <c r="H38" s="48">
        <f>ROUND(IF(MONTH($A38)=12,2.333,1)*VLOOKUP($A38,'Página7'!$A$1:$AA$27,COLUMN(),TRUE),2)</f>
        <v>12514.58</v>
      </c>
      <c r="I38" s="48">
        <f>ROUND(IF(MONTH($A38)=12,2.333,1)*VLOOKUP($A38,'Página7'!$A$1:$AA$27,COLUMN(),TRUE),2)</f>
        <v>26223.37</v>
      </c>
      <c r="J38" s="48">
        <f t="shared" si="4"/>
        <v>23195.74</v>
      </c>
      <c r="K38" s="48">
        <f>ROUND(IF(MONTH($A38)=12,2.333,1)*VLOOKUP($A38,'Página7'!$A$1:$AA$27,COLUMN(),TRUE),2)</f>
        <v>20831.4</v>
      </c>
      <c r="L38" s="48">
        <f t="shared" si="5"/>
        <v>20444.52</v>
      </c>
      <c r="M38" s="48">
        <f t="shared" si="6"/>
        <v>12545.98</v>
      </c>
      <c r="N38" s="48">
        <f>ROUND(IF(MONTH($A38)=12,2.333,1)*VLOOKUP($A38,'Página7'!$A$1:$AA$27,COLUMN(),TRUE),2)</f>
        <v>18529.64</v>
      </c>
      <c r="O38" s="48">
        <f>ROUND(IF(MONTH($A38)=12,2.333,1)*VLOOKUP($A38,'Página7'!$A$1:$AA$27,COLUMN(),TRUE),2)</f>
        <v>8944.4</v>
      </c>
      <c r="P38" s="48">
        <f>VLOOKUP($A38,'Página7'!$A$1:$AA$27,COLUMN(),TRUE)</f>
        <v>27303.7</v>
      </c>
      <c r="Q38" s="48">
        <f>VLOOKUP($A38,'Página7'!$A$1:$AA$27,COLUMN(),TRUE)</f>
        <v>7216.35</v>
      </c>
      <c r="R38" s="48">
        <f>VLOOKUP($A38,'Página7'!$A$1:$AA$27,COLUMN(),TRUE)</f>
        <v>27303.62</v>
      </c>
      <c r="S38" s="48">
        <f>VLOOKUP($A38,'Página7'!$A$1:$AA$27,COLUMN(),TRUE)</f>
        <v>3000</v>
      </c>
      <c r="T38" s="48">
        <f>VLOOKUP($A38,'Página7'!$A$1:$AA$27,COLUMN(),TRUE)</f>
        <v>16276.05</v>
      </c>
      <c r="U38" s="48">
        <f>VLOOKUP($A38,'Página7'!$A$1:$AA$27,COLUMN(),TRUE)</f>
        <v>1800</v>
      </c>
      <c r="V38" s="48">
        <f>VLOOKUP($A38,'Página7'!$A$1:$AA$27,COLUMN(),TRUE)</f>
        <v>18487.07025</v>
      </c>
      <c r="W38" s="48">
        <f>VLOOKUP($A38,'Página7'!$A$1:$AA$27,COLUMN(),TRUE)</f>
        <v>5231.85375</v>
      </c>
      <c r="X38" s="48">
        <f>VLOOKUP($A38,'Página7'!$A$1:$AA$27,COLUMN(),TRUE)</f>
        <v>18487.0195</v>
      </c>
      <c r="Y38" s="48">
        <f>VLOOKUP($A38,'Página7'!$A$1:$AA$27,COLUMN(),TRUE)</f>
        <v>2175</v>
      </c>
      <c r="Z38" s="48">
        <f>VLOOKUP($A38,'Página7'!$A$1:$AA$27,COLUMN(),TRUE)</f>
        <v>11371.478</v>
      </c>
      <c r="AA38" s="48">
        <f>VLOOKUP($A38,'Página7'!$A$1:$AA$27,COLUMN(),TRUE)</f>
        <v>1305</v>
      </c>
    </row>
    <row r="39">
      <c r="A39" s="34">
        <v>43497.0</v>
      </c>
      <c r="B39" s="48">
        <f>ROUND(IF(MONTH($A39)=12,2.333,1)*VLOOKUP($A39,'Página7'!$A$1:$AA$27,COLUMN(),TRUE),2)</f>
        <v>39293.32</v>
      </c>
      <c r="C39" s="48">
        <f t="shared" si="1"/>
        <v>33798.42</v>
      </c>
      <c r="D39" s="48">
        <f>ROUND(IF(MONTH($A39)=12,2.333,1)*VLOOKUP($A39,'Página7'!$A$1:$AA$27,COLUMN(),TRUE),2)</f>
        <v>30936.91</v>
      </c>
      <c r="E39" s="48">
        <f t="shared" si="2"/>
        <v>30003.62</v>
      </c>
      <c r="F39" s="48">
        <f t="shared" si="3"/>
        <v>17896.05</v>
      </c>
      <c r="G39" s="48">
        <f>ROUND(IF(MONTH($A39)=12,2.333,1)*VLOOKUP($A39,'Página7'!$A$1:$AA$27,COLUMN(),TRUE),2)</f>
        <v>27369.67</v>
      </c>
      <c r="H39" s="48">
        <f>ROUND(IF(MONTH($A39)=12,2.333,1)*VLOOKUP($A39,'Página7'!$A$1:$AA$27,COLUMN(),TRUE),2)</f>
        <v>12514.58</v>
      </c>
      <c r="I39" s="48">
        <f>ROUND(IF(MONTH($A39)=12,2.333,1)*VLOOKUP($A39,'Página7'!$A$1:$AA$27,COLUMN(),TRUE),2)</f>
        <v>26223.37</v>
      </c>
      <c r="J39" s="48">
        <f t="shared" si="4"/>
        <v>23195.74</v>
      </c>
      <c r="K39" s="48">
        <f>ROUND(IF(MONTH($A39)=12,2.333,1)*VLOOKUP($A39,'Página7'!$A$1:$AA$27,COLUMN(),TRUE),2)</f>
        <v>20831.4</v>
      </c>
      <c r="L39" s="48">
        <f t="shared" si="5"/>
        <v>20444.52</v>
      </c>
      <c r="M39" s="48">
        <f t="shared" si="6"/>
        <v>12545.98</v>
      </c>
      <c r="N39" s="48">
        <f>ROUND(IF(MONTH($A39)=12,2.333,1)*VLOOKUP($A39,'Página7'!$A$1:$AA$27,COLUMN(),TRUE),2)</f>
        <v>18529.64</v>
      </c>
      <c r="O39" s="48">
        <f>ROUND(IF(MONTH($A39)=12,2.333,1)*VLOOKUP($A39,'Página7'!$A$1:$AA$27,COLUMN(),TRUE),2)</f>
        <v>8944.4</v>
      </c>
      <c r="P39" s="48">
        <f>VLOOKUP($A39,'Página7'!$A$1:$AA$27,COLUMN(),TRUE)</f>
        <v>27303.7</v>
      </c>
      <c r="Q39" s="48">
        <f>VLOOKUP($A39,'Página7'!$A$1:$AA$27,COLUMN(),TRUE)</f>
        <v>7216.35</v>
      </c>
      <c r="R39" s="48">
        <f>VLOOKUP($A39,'Página7'!$A$1:$AA$27,COLUMN(),TRUE)</f>
        <v>27303.62</v>
      </c>
      <c r="S39" s="48">
        <f>VLOOKUP($A39,'Página7'!$A$1:$AA$27,COLUMN(),TRUE)</f>
        <v>3000</v>
      </c>
      <c r="T39" s="48">
        <f>VLOOKUP($A39,'Página7'!$A$1:$AA$27,COLUMN(),TRUE)</f>
        <v>16276.05</v>
      </c>
      <c r="U39" s="48">
        <f>VLOOKUP($A39,'Página7'!$A$1:$AA$27,COLUMN(),TRUE)</f>
        <v>1800</v>
      </c>
      <c r="V39" s="48">
        <f>VLOOKUP($A39,'Página7'!$A$1:$AA$27,COLUMN(),TRUE)</f>
        <v>18487.07025</v>
      </c>
      <c r="W39" s="48">
        <f>VLOOKUP($A39,'Página7'!$A$1:$AA$27,COLUMN(),TRUE)</f>
        <v>5231.85375</v>
      </c>
      <c r="X39" s="48">
        <f>VLOOKUP($A39,'Página7'!$A$1:$AA$27,COLUMN(),TRUE)</f>
        <v>18487.0195</v>
      </c>
      <c r="Y39" s="48">
        <f>VLOOKUP($A39,'Página7'!$A$1:$AA$27,COLUMN(),TRUE)</f>
        <v>2175</v>
      </c>
      <c r="Z39" s="48">
        <f>VLOOKUP($A39,'Página7'!$A$1:$AA$27,COLUMN(),TRUE)</f>
        <v>11371.478</v>
      </c>
      <c r="AA39" s="48">
        <f>VLOOKUP($A39,'Página7'!$A$1:$AA$27,COLUMN(),TRUE)</f>
        <v>1305</v>
      </c>
    </row>
    <row r="40">
      <c r="A40" s="34">
        <v>43525.0</v>
      </c>
      <c r="B40" s="48">
        <f>ROUND(IF(MONTH($A40)=12,2.333,1)*VLOOKUP($A40,'Página7'!$A$1:$AA$27,COLUMN(),TRUE),2)</f>
        <v>39293.32</v>
      </c>
      <c r="C40" s="48">
        <f t="shared" si="1"/>
        <v>33798.42</v>
      </c>
      <c r="D40" s="48">
        <f>ROUND(IF(MONTH($A40)=12,2.333,1)*VLOOKUP($A40,'Página7'!$A$1:$AA$27,COLUMN(),TRUE),2)</f>
        <v>30936.91</v>
      </c>
      <c r="E40" s="48">
        <f t="shared" si="2"/>
        <v>30003.62</v>
      </c>
      <c r="F40" s="48">
        <f t="shared" si="3"/>
        <v>17896.05</v>
      </c>
      <c r="G40" s="48">
        <f>ROUND(IF(MONTH($A40)=12,2.333,1)*VLOOKUP($A40,'Página7'!$A$1:$AA$27,COLUMN(),TRUE),2)</f>
        <v>27369.67</v>
      </c>
      <c r="H40" s="48">
        <f>ROUND(IF(MONTH($A40)=12,2.333,1)*VLOOKUP($A40,'Página7'!$A$1:$AA$27,COLUMN(),TRUE),2)</f>
        <v>12514.58</v>
      </c>
      <c r="I40" s="48">
        <f>ROUND(IF(MONTH($A40)=12,2.333,1)*VLOOKUP($A40,'Página7'!$A$1:$AA$27,COLUMN(),TRUE),2)</f>
        <v>26223.37</v>
      </c>
      <c r="J40" s="48">
        <f t="shared" si="4"/>
        <v>23195.74</v>
      </c>
      <c r="K40" s="48">
        <f>ROUND(IF(MONTH($A40)=12,2.333,1)*VLOOKUP($A40,'Página7'!$A$1:$AA$27,COLUMN(),TRUE),2)</f>
        <v>20831.4</v>
      </c>
      <c r="L40" s="48">
        <f t="shared" si="5"/>
        <v>20444.52</v>
      </c>
      <c r="M40" s="48">
        <f t="shared" si="6"/>
        <v>12545.98</v>
      </c>
      <c r="N40" s="48">
        <f>ROUND(IF(MONTH($A40)=12,2.333,1)*VLOOKUP($A40,'Página7'!$A$1:$AA$27,COLUMN(),TRUE),2)</f>
        <v>18529.64</v>
      </c>
      <c r="O40" s="48">
        <f>ROUND(IF(MONTH($A40)=12,2.333,1)*VLOOKUP($A40,'Página7'!$A$1:$AA$27,COLUMN(),TRUE),2)</f>
        <v>8944.4</v>
      </c>
      <c r="P40" s="48">
        <f>VLOOKUP($A40,'Página7'!$A$1:$AA$27,COLUMN(),TRUE)</f>
        <v>27303.7</v>
      </c>
      <c r="Q40" s="48">
        <f>VLOOKUP($A40,'Página7'!$A$1:$AA$27,COLUMN(),TRUE)</f>
        <v>7216.35</v>
      </c>
      <c r="R40" s="48">
        <f>VLOOKUP($A40,'Página7'!$A$1:$AA$27,COLUMN(),TRUE)</f>
        <v>27303.62</v>
      </c>
      <c r="S40" s="48">
        <f>VLOOKUP($A40,'Página7'!$A$1:$AA$27,COLUMN(),TRUE)</f>
        <v>3000</v>
      </c>
      <c r="T40" s="48">
        <f>VLOOKUP($A40,'Página7'!$A$1:$AA$27,COLUMN(),TRUE)</f>
        <v>16276.05</v>
      </c>
      <c r="U40" s="48">
        <f>VLOOKUP($A40,'Página7'!$A$1:$AA$27,COLUMN(),TRUE)</f>
        <v>1800</v>
      </c>
      <c r="V40" s="48">
        <f>VLOOKUP($A40,'Página7'!$A$1:$AA$27,COLUMN(),TRUE)</f>
        <v>18487.07025</v>
      </c>
      <c r="W40" s="48">
        <f>VLOOKUP($A40,'Página7'!$A$1:$AA$27,COLUMN(),TRUE)</f>
        <v>5231.85375</v>
      </c>
      <c r="X40" s="48">
        <f>VLOOKUP($A40,'Página7'!$A$1:$AA$27,COLUMN(),TRUE)</f>
        <v>18487.0195</v>
      </c>
      <c r="Y40" s="48">
        <f>VLOOKUP($A40,'Página7'!$A$1:$AA$27,COLUMN(),TRUE)</f>
        <v>2175</v>
      </c>
      <c r="Z40" s="48">
        <f>VLOOKUP($A40,'Página7'!$A$1:$AA$27,COLUMN(),TRUE)</f>
        <v>11371.478</v>
      </c>
      <c r="AA40" s="48">
        <f>VLOOKUP($A40,'Página7'!$A$1:$AA$27,COLUMN(),TRUE)</f>
        <v>1305</v>
      </c>
    </row>
    <row r="41">
      <c r="A41" s="34">
        <v>43556.0</v>
      </c>
      <c r="B41" s="48">
        <f>ROUND(IF(MONTH($A41)=12,2.333,1)*VLOOKUP($A41,'Página7'!$A$1:$AA$27,COLUMN(),TRUE),2)</f>
        <v>39293.32</v>
      </c>
      <c r="C41" s="48">
        <f t="shared" si="1"/>
        <v>33798.42</v>
      </c>
      <c r="D41" s="48">
        <f>ROUND(IF(MONTH($A41)=12,2.333,1)*VLOOKUP($A41,'Página7'!$A$1:$AA$27,COLUMN(),TRUE),2)</f>
        <v>30936.91</v>
      </c>
      <c r="E41" s="48">
        <f t="shared" si="2"/>
        <v>30003.62</v>
      </c>
      <c r="F41" s="48">
        <f t="shared" si="3"/>
        <v>17896.05</v>
      </c>
      <c r="G41" s="48">
        <f>ROUND(IF(MONTH($A41)=12,2.333,1)*VLOOKUP($A41,'Página7'!$A$1:$AA$27,COLUMN(),TRUE),2)</f>
        <v>27369.67</v>
      </c>
      <c r="H41" s="48">
        <f>ROUND(IF(MONTH($A41)=12,2.333,1)*VLOOKUP($A41,'Página7'!$A$1:$AA$27,COLUMN(),TRUE),2)</f>
        <v>12514.58</v>
      </c>
      <c r="I41" s="48">
        <f>ROUND(IF(MONTH($A41)=12,2.333,1)*VLOOKUP($A41,'Página7'!$A$1:$AA$27,COLUMN(),TRUE),2)</f>
        <v>26223.37</v>
      </c>
      <c r="J41" s="48">
        <f t="shared" si="4"/>
        <v>23195.74</v>
      </c>
      <c r="K41" s="48">
        <f>ROUND(IF(MONTH($A41)=12,2.333,1)*VLOOKUP($A41,'Página7'!$A$1:$AA$27,COLUMN(),TRUE),2)</f>
        <v>20831.4</v>
      </c>
      <c r="L41" s="48">
        <f t="shared" si="5"/>
        <v>20444.52</v>
      </c>
      <c r="M41" s="48">
        <f t="shared" si="6"/>
        <v>12545.98</v>
      </c>
      <c r="N41" s="48">
        <f>ROUND(IF(MONTH($A41)=12,2.333,1)*VLOOKUP($A41,'Página7'!$A$1:$AA$27,COLUMN(),TRUE),2)</f>
        <v>18529.64</v>
      </c>
      <c r="O41" s="48">
        <f>ROUND(IF(MONTH($A41)=12,2.333,1)*VLOOKUP($A41,'Página7'!$A$1:$AA$27,COLUMN(),TRUE),2)</f>
        <v>8944.4</v>
      </c>
      <c r="P41" s="48">
        <f>VLOOKUP($A41,'Página7'!$A$1:$AA$27,COLUMN(),TRUE)</f>
        <v>27303.7</v>
      </c>
      <c r="Q41" s="48">
        <f>VLOOKUP($A41,'Página7'!$A$1:$AA$27,COLUMN(),TRUE)</f>
        <v>7216.35</v>
      </c>
      <c r="R41" s="48">
        <f>VLOOKUP($A41,'Página7'!$A$1:$AA$27,COLUMN(),TRUE)</f>
        <v>27303.62</v>
      </c>
      <c r="S41" s="48">
        <f>VLOOKUP($A41,'Página7'!$A$1:$AA$27,COLUMN(),TRUE)</f>
        <v>3000</v>
      </c>
      <c r="T41" s="48">
        <f>VLOOKUP($A41,'Página7'!$A$1:$AA$27,COLUMN(),TRUE)</f>
        <v>16276.05</v>
      </c>
      <c r="U41" s="48">
        <f>VLOOKUP($A41,'Página7'!$A$1:$AA$27,COLUMN(),TRUE)</f>
        <v>1800</v>
      </c>
      <c r="V41" s="48">
        <f>VLOOKUP($A41,'Página7'!$A$1:$AA$27,COLUMN(),TRUE)</f>
        <v>18487.07025</v>
      </c>
      <c r="W41" s="48">
        <f>VLOOKUP($A41,'Página7'!$A$1:$AA$27,COLUMN(),TRUE)</f>
        <v>5231.85375</v>
      </c>
      <c r="X41" s="48">
        <f>VLOOKUP($A41,'Página7'!$A$1:$AA$27,COLUMN(),TRUE)</f>
        <v>18487.0195</v>
      </c>
      <c r="Y41" s="48">
        <f>VLOOKUP($A41,'Página7'!$A$1:$AA$27,COLUMN(),TRUE)</f>
        <v>2175</v>
      </c>
      <c r="Z41" s="48">
        <f>VLOOKUP($A41,'Página7'!$A$1:$AA$27,COLUMN(),TRUE)</f>
        <v>11371.478</v>
      </c>
      <c r="AA41" s="48">
        <f>VLOOKUP($A41,'Página7'!$A$1:$AA$27,COLUMN(),TRUE)</f>
        <v>1305</v>
      </c>
    </row>
    <row r="42">
      <c r="A42" s="34">
        <v>43586.0</v>
      </c>
      <c r="B42" s="48">
        <f>ROUND(IF(MONTH($A42)=12,2.333,1)*VLOOKUP($A42,'Página7'!$A$1:$AA$27,COLUMN(),TRUE),2)</f>
        <v>39293.32</v>
      </c>
      <c r="C42" s="48">
        <f t="shared" si="1"/>
        <v>33798.42</v>
      </c>
      <c r="D42" s="48">
        <f>ROUND(IF(MONTH($A42)=12,2.333,1)*VLOOKUP($A42,'Página7'!$A$1:$AA$27,COLUMN(),TRUE),2)</f>
        <v>30936.91</v>
      </c>
      <c r="E42" s="48">
        <f t="shared" si="2"/>
        <v>30003.62</v>
      </c>
      <c r="F42" s="48">
        <f t="shared" si="3"/>
        <v>17896.05</v>
      </c>
      <c r="G42" s="48">
        <f>ROUND(IF(MONTH($A42)=12,2.333,1)*VLOOKUP($A42,'Página7'!$A$1:$AA$27,COLUMN(),TRUE),2)</f>
        <v>27369.67</v>
      </c>
      <c r="H42" s="48">
        <f>ROUND(IF(MONTH($A42)=12,2.333,1)*VLOOKUP($A42,'Página7'!$A$1:$AA$27,COLUMN(),TRUE),2)</f>
        <v>12514.58</v>
      </c>
      <c r="I42" s="48">
        <f>ROUND(IF(MONTH($A42)=12,2.333,1)*VLOOKUP($A42,'Página7'!$A$1:$AA$27,COLUMN(),TRUE),2)</f>
        <v>26223.37</v>
      </c>
      <c r="J42" s="48">
        <f t="shared" si="4"/>
        <v>23195.74</v>
      </c>
      <c r="K42" s="48">
        <f>ROUND(IF(MONTH($A42)=12,2.333,1)*VLOOKUP($A42,'Página7'!$A$1:$AA$27,COLUMN(),TRUE),2)</f>
        <v>20831.4</v>
      </c>
      <c r="L42" s="48">
        <f t="shared" si="5"/>
        <v>20444.52</v>
      </c>
      <c r="M42" s="48">
        <f t="shared" si="6"/>
        <v>12545.98</v>
      </c>
      <c r="N42" s="48">
        <f>ROUND(IF(MONTH($A42)=12,2.333,1)*VLOOKUP($A42,'Página7'!$A$1:$AA$27,COLUMN(),TRUE),2)</f>
        <v>18529.64</v>
      </c>
      <c r="O42" s="48">
        <f>ROUND(IF(MONTH($A42)=12,2.333,1)*VLOOKUP($A42,'Página7'!$A$1:$AA$27,COLUMN(),TRUE),2)</f>
        <v>8944.4</v>
      </c>
      <c r="P42" s="48">
        <f>VLOOKUP($A42,'Página7'!$A$1:$AA$27,COLUMN(),TRUE)</f>
        <v>27303.7</v>
      </c>
      <c r="Q42" s="48">
        <f>VLOOKUP($A42,'Página7'!$A$1:$AA$27,COLUMN(),TRUE)</f>
        <v>7216.35</v>
      </c>
      <c r="R42" s="48">
        <f>VLOOKUP($A42,'Página7'!$A$1:$AA$27,COLUMN(),TRUE)</f>
        <v>27303.62</v>
      </c>
      <c r="S42" s="48">
        <f>VLOOKUP($A42,'Página7'!$A$1:$AA$27,COLUMN(),TRUE)</f>
        <v>3000</v>
      </c>
      <c r="T42" s="48">
        <f>VLOOKUP($A42,'Página7'!$A$1:$AA$27,COLUMN(),TRUE)</f>
        <v>16276.05</v>
      </c>
      <c r="U42" s="48">
        <f>VLOOKUP($A42,'Página7'!$A$1:$AA$27,COLUMN(),TRUE)</f>
        <v>1800</v>
      </c>
      <c r="V42" s="48">
        <f>VLOOKUP($A42,'Página7'!$A$1:$AA$27,COLUMN(),TRUE)</f>
        <v>18487.07025</v>
      </c>
      <c r="W42" s="48">
        <f>VLOOKUP($A42,'Página7'!$A$1:$AA$27,COLUMN(),TRUE)</f>
        <v>5231.85375</v>
      </c>
      <c r="X42" s="48">
        <f>VLOOKUP($A42,'Página7'!$A$1:$AA$27,COLUMN(),TRUE)</f>
        <v>18487.0195</v>
      </c>
      <c r="Y42" s="48">
        <f>VLOOKUP($A42,'Página7'!$A$1:$AA$27,COLUMN(),TRUE)</f>
        <v>2175</v>
      </c>
      <c r="Z42" s="48">
        <f>VLOOKUP($A42,'Página7'!$A$1:$AA$27,COLUMN(),TRUE)</f>
        <v>11371.478</v>
      </c>
      <c r="AA42" s="48">
        <f>VLOOKUP($A42,'Página7'!$A$1:$AA$27,COLUMN(),TRUE)</f>
        <v>1305</v>
      </c>
    </row>
    <row r="43">
      <c r="A43" s="34">
        <v>43617.0</v>
      </c>
      <c r="B43" s="48">
        <f>ROUND(IF(MONTH($A43)=12,2.333,1)*VLOOKUP($A43,'Página7'!$A$1:$AA$27,COLUMN(),TRUE),2)</f>
        <v>39293.32</v>
      </c>
      <c r="C43" s="48">
        <f t="shared" si="1"/>
        <v>33798.42</v>
      </c>
      <c r="D43" s="48">
        <f>ROUND(IF(MONTH($A43)=12,2.333,1)*VLOOKUP($A43,'Página7'!$A$1:$AA$27,COLUMN(),TRUE),2)</f>
        <v>30936.91</v>
      </c>
      <c r="E43" s="48">
        <f t="shared" si="2"/>
        <v>30003.62</v>
      </c>
      <c r="F43" s="48">
        <f t="shared" si="3"/>
        <v>17896.05</v>
      </c>
      <c r="G43" s="48">
        <f>ROUND(IF(MONTH($A43)=12,2.333,1)*VLOOKUP($A43,'Página7'!$A$1:$AA$27,COLUMN(),TRUE),2)</f>
        <v>27369.67</v>
      </c>
      <c r="H43" s="48">
        <f>ROUND(IF(MONTH($A43)=12,2.333,1)*VLOOKUP($A43,'Página7'!$A$1:$AA$27,COLUMN(),TRUE),2)</f>
        <v>12514.58</v>
      </c>
      <c r="I43" s="48">
        <f>ROUND(IF(MONTH($A43)=12,2.333,1)*VLOOKUP($A43,'Página7'!$A$1:$AA$27,COLUMN(),TRUE),2)</f>
        <v>26223.37</v>
      </c>
      <c r="J43" s="48">
        <f t="shared" si="4"/>
        <v>23195.74</v>
      </c>
      <c r="K43" s="48">
        <f>ROUND(IF(MONTH($A43)=12,2.333,1)*VLOOKUP($A43,'Página7'!$A$1:$AA$27,COLUMN(),TRUE),2)</f>
        <v>20831.4</v>
      </c>
      <c r="L43" s="48">
        <f t="shared" si="5"/>
        <v>20444.52</v>
      </c>
      <c r="M43" s="48">
        <f t="shared" si="6"/>
        <v>12545.98</v>
      </c>
      <c r="N43" s="48">
        <f>ROUND(IF(MONTH($A43)=12,2.333,1)*VLOOKUP($A43,'Página7'!$A$1:$AA$27,COLUMN(),TRUE),2)</f>
        <v>18529.64</v>
      </c>
      <c r="O43" s="48">
        <f>ROUND(IF(MONTH($A43)=12,2.333,1)*VLOOKUP($A43,'Página7'!$A$1:$AA$27,COLUMN(),TRUE),2)</f>
        <v>8944.4</v>
      </c>
      <c r="P43" s="48">
        <f>VLOOKUP($A43,'Página7'!$A$1:$AA$27,COLUMN(),TRUE)</f>
        <v>27303.7</v>
      </c>
      <c r="Q43" s="48">
        <f>VLOOKUP($A43,'Página7'!$A$1:$AA$27,COLUMN(),TRUE)</f>
        <v>7216.35</v>
      </c>
      <c r="R43" s="48">
        <f>VLOOKUP($A43,'Página7'!$A$1:$AA$27,COLUMN(),TRUE)</f>
        <v>27303.62</v>
      </c>
      <c r="S43" s="48">
        <f>VLOOKUP($A43,'Página7'!$A$1:$AA$27,COLUMN(),TRUE)</f>
        <v>3000</v>
      </c>
      <c r="T43" s="48">
        <f>VLOOKUP($A43,'Página7'!$A$1:$AA$27,COLUMN(),TRUE)</f>
        <v>16276.05</v>
      </c>
      <c r="U43" s="48">
        <f>VLOOKUP($A43,'Página7'!$A$1:$AA$27,COLUMN(),TRUE)</f>
        <v>1800</v>
      </c>
      <c r="V43" s="48">
        <f>VLOOKUP($A43,'Página7'!$A$1:$AA$27,COLUMN(),TRUE)</f>
        <v>18487.07025</v>
      </c>
      <c r="W43" s="48">
        <f>VLOOKUP($A43,'Página7'!$A$1:$AA$27,COLUMN(),TRUE)</f>
        <v>5231.85375</v>
      </c>
      <c r="X43" s="48">
        <f>VLOOKUP($A43,'Página7'!$A$1:$AA$27,COLUMN(),TRUE)</f>
        <v>18487.0195</v>
      </c>
      <c r="Y43" s="48">
        <f>VLOOKUP($A43,'Página7'!$A$1:$AA$27,COLUMN(),TRUE)</f>
        <v>2175</v>
      </c>
      <c r="Z43" s="48">
        <f>VLOOKUP($A43,'Página7'!$A$1:$AA$27,COLUMN(),TRUE)</f>
        <v>11371.478</v>
      </c>
      <c r="AA43" s="48">
        <f>VLOOKUP($A43,'Página7'!$A$1:$AA$27,COLUMN(),TRUE)</f>
        <v>1305</v>
      </c>
    </row>
    <row r="44">
      <c r="A44" s="34">
        <v>43647.0</v>
      </c>
      <c r="B44" s="48">
        <f>ROUND(IF(MONTH($A44)=12,2.333,1)*VLOOKUP($A44,'Página7'!$A$1:$AA$27,COLUMN(),TRUE),2)</f>
        <v>39293.32</v>
      </c>
      <c r="C44" s="48">
        <f t="shared" si="1"/>
        <v>33798.42</v>
      </c>
      <c r="D44" s="48">
        <f>ROUND(IF(MONTH($A44)=12,2.333,1)*VLOOKUP($A44,'Página7'!$A$1:$AA$27,COLUMN(),TRUE),2)</f>
        <v>30936.91</v>
      </c>
      <c r="E44" s="48">
        <f t="shared" si="2"/>
        <v>30003.62</v>
      </c>
      <c r="F44" s="48">
        <f t="shared" si="3"/>
        <v>17896.05</v>
      </c>
      <c r="G44" s="48">
        <f>ROUND(IF(MONTH($A44)=12,2.333,1)*VLOOKUP($A44,'Página7'!$A$1:$AA$27,COLUMN(),TRUE),2)</f>
        <v>27369.67</v>
      </c>
      <c r="H44" s="48">
        <f>ROUND(IF(MONTH($A44)=12,2.333,1)*VLOOKUP($A44,'Página7'!$A$1:$AA$27,COLUMN(),TRUE),2)</f>
        <v>12514.58</v>
      </c>
      <c r="I44" s="48">
        <f>ROUND(IF(MONTH($A44)=12,2.333,1)*VLOOKUP($A44,'Página7'!$A$1:$AA$27,COLUMN(),TRUE),2)</f>
        <v>26223.37</v>
      </c>
      <c r="J44" s="48">
        <f t="shared" si="4"/>
        <v>23195.74</v>
      </c>
      <c r="K44" s="48">
        <f>ROUND(IF(MONTH($A44)=12,2.333,1)*VLOOKUP($A44,'Página7'!$A$1:$AA$27,COLUMN(),TRUE),2)</f>
        <v>20831.4</v>
      </c>
      <c r="L44" s="48">
        <f t="shared" si="5"/>
        <v>20444.52</v>
      </c>
      <c r="M44" s="48">
        <f t="shared" si="6"/>
        <v>12545.98</v>
      </c>
      <c r="N44" s="48">
        <f>ROUND(IF(MONTH($A44)=12,2.333,1)*VLOOKUP($A44,'Página7'!$A$1:$AA$27,COLUMN(),TRUE),2)</f>
        <v>18529.64</v>
      </c>
      <c r="O44" s="48">
        <f>ROUND(IF(MONTH($A44)=12,2.333,1)*VLOOKUP($A44,'Página7'!$A$1:$AA$27,COLUMN(),TRUE),2)</f>
        <v>8944.4</v>
      </c>
      <c r="P44" s="48">
        <f>VLOOKUP($A44,'Página7'!$A$1:$AA$27,COLUMN(),TRUE)</f>
        <v>27303.7</v>
      </c>
      <c r="Q44" s="48">
        <f>VLOOKUP($A44,'Página7'!$A$1:$AA$27,COLUMN(),TRUE)</f>
        <v>7216.35</v>
      </c>
      <c r="R44" s="48">
        <f>VLOOKUP($A44,'Página7'!$A$1:$AA$27,COLUMN(),TRUE)</f>
        <v>27303.62</v>
      </c>
      <c r="S44" s="48">
        <f>VLOOKUP($A44,'Página7'!$A$1:$AA$27,COLUMN(),TRUE)</f>
        <v>3000</v>
      </c>
      <c r="T44" s="48">
        <f>VLOOKUP($A44,'Página7'!$A$1:$AA$27,COLUMN(),TRUE)</f>
        <v>16276.05</v>
      </c>
      <c r="U44" s="48">
        <f>VLOOKUP($A44,'Página7'!$A$1:$AA$27,COLUMN(),TRUE)</f>
        <v>1800</v>
      </c>
      <c r="V44" s="48">
        <f>VLOOKUP($A44,'Página7'!$A$1:$AA$27,COLUMN(),TRUE)</f>
        <v>18487.07025</v>
      </c>
      <c r="W44" s="48">
        <f>VLOOKUP($A44,'Página7'!$A$1:$AA$27,COLUMN(),TRUE)</f>
        <v>5231.85375</v>
      </c>
      <c r="X44" s="48">
        <f>VLOOKUP($A44,'Página7'!$A$1:$AA$27,COLUMN(),TRUE)</f>
        <v>18487.0195</v>
      </c>
      <c r="Y44" s="48">
        <f>VLOOKUP($A44,'Página7'!$A$1:$AA$27,COLUMN(),TRUE)</f>
        <v>2175</v>
      </c>
      <c r="Z44" s="48">
        <f>VLOOKUP($A44,'Página7'!$A$1:$AA$27,COLUMN(),TRUE)</f>
        <v>11371.478</v>
      </c>
      <c r="AA44" s="48">
        <f>VLOOKUP($A44,'Página7'!$A$1:$AA$27,COLUMN(),TRUE)</f>
        <v>1305</v>
      </c>
    </row>
    <row r="45">
      <c r="A45" s="34">
        <v>43678.0</v>
      </c>
      <c r="B45" s="48">
        <f>ROUND(IF(MONTH($A45)=12,2.333,1)*VLOOKUP($A45,'Página7'!$A$1:$AA$27,COLUMN(),TRUE),2)</f>
        <v>39293.32</v>
      </c>
      <c r="C45" s="48">
        <f t="shared" si="1"/>
        <v>33798.42</v>
      </c>
      <c r="D45" s="48">
        <f>ROUND(IF(MONTH($A45)=12,2.333,1)*VLOOKUP($A45,'Página7'!$A$1:$AA$27,COLUMN(),TRUE),2)</f>
        <v>30936.91</v>
      </c>
      <c r="E45" s="48">
        <f t="shared" si="2"/>
        <v>30003.62</v>
      </c>
      <c r="F45" s="48">
        <f t="shared" si="3"/>
        <v>17896.05</v>
      </c>
      <c r="G45" s="48">
        <f>ROUND(IF(MONTH($A45)=12,2.333,1)*VLOOKUP($A45,'Página7'!$A$1:$AA$27,COLUMN(),TRUE),2)</f>
        <v>27369.67</v>
      </c>
      <c r="H45" s="48">
        <f>ROUND(IF(MONTH($A45)=12,2.333,1)*VLOOKUP($A45,'Página7'!$A$1:$AA$27,COLUMN(),TRUE),2)</f>
        <v>12514.58</v>
      </c>
      <c r="I45" s="48">
        <f>ROUND(IF(MONTH($A45)=12,2.333,1)*VLOOKUP($A45,'Página7'!$A$1:$AA$27,COLUMN(),TRUE),2)</f>
        <v>26223.37</v>
      </c>
      <c r="J45" s="48">
        <f t="shared" si="4"/>
        <v>23195.74</v>
      </c>
      <c r="K45" s="48">
        <f>ROUND(IF(MONTH($A45)=12,2.333,1)*VLOOKUP($A45,'Página7'!$A$1:$AA$27,COLUMN(),TRUE),2)</f>
        <v>20831.4</v>
      </c>
      <c r="L45" s="48">
        <f t="shared" si="5"/>
        <v>20444.52</v>
      </c>
      <c r="M45" s="48">
        <f t="shared" si="6"/>
        <v>12545.98</v>
      </c>
      <c r="N45" s="48">
        <f>ROUND(IF(MONTH($A45)=12,2.333,1)*VLOOKUP($A45,'Página7'!$A$1:$AA$27,COLUMN(),TRUE),2)</f>
        <v>18529.64</v>
      </c>
      <c r="O45" s="48">
        <f>ROUND(IF(MONTH($A45)=12,2.333,1)*VLOOKUP($A45,'Página7'!$A$1:$AA$27,COLUMN(),TRUE),2)</f>
        <v>8944.4</v>
      </c>
      <c r="P45" s="48">
        <f>VLOOKUP($A45,'Página7'!$A$1:$AA$27,COLUMN(),TRUE)</f>
        <v>27303.7</v>
      </c>
      <c r="Q45" s="48">
        <f>VLOOKUP($A45,'Página7'!$A$1:$AA$27,COLUMN(),TRUE)</f>
        <v>7216.35</v>
      </c>
      <c r="R45" s="48">
        <f>VLOOKUP($A45,'Página7'!$A$1:$AA$27,COLUMN(),TRUE)</f>
        <v>27303.62</v>
      </c>
      <c r="S45" s="48">
        <f>VLOOKUP($A45,'Página7'!$A$1:$AA$27,COLUMN(),TRUE)</f>
        <v>3000</v>
      </c>
      <c r="T45" s="48">
        <f>VLOOKUP($A45,'Página7'!$A$1:$AA$27,COLUMN(),TRUE)</f>
        <v>16276.05</v>
      </c>
      <c r="U45" s="48">
        <f>VLOOKUP($A45,'Página7'!$A$1:$AA$27,COLUMN(),TRUE)</f>
        <v>1800</v>
      </c>
      <c r="V45" s="48">
        <f>VLOOKUP($A45,'Página7'!$A$1:$AA$27,COLUMN(),TRUE)</f>
        <v>18487.07025</v>
      </c>
      <c r="W45" s="48">
        <f>VLOOKUP($A45,'Página7'!$A$1:$AA$27,COLUMN(),TRUE)</f>
        <v>5231.85375</v>
      </c>
      <c r="X45" s="48">
        <f>VLOOKUP($A45,'Página7'!$A$1:$AA$27,COLUMN(),TRUE)</f>
        <v>18487.0195</v>
      </c>
      <c r="Y45" s="48">
        <f>VLOOKUP($A45,'Página7'!$A$1:$AA$27,COLUMN(),TRUE)</f>
        <v>2175</v>
      </c>
      <c r="Z45" s="48">
        <f>VLOOKUP($A45,'Página7'!$A$1:$AA$27,COLUMN(),TRUE)</f>
        <v>11371.478</v>
      </c>
      <c r="AA45" s="48">
        <f>VLOOKUP($A45,'Página7'!$A$1:$AA$27,COLUMN(),TRUE)</f>
        <v>1305</v>
      </c>
    </row>
    <row r="46">
      <c r="A46" s="34">
        <v>43709.0</v>
      </c>
      <c r="B46" s="48">
        <f>ROUND(IF(MONTH($A46)=12,2.333,1)*VLOOKUP($A46,'Página7'!$A$1:$AA$27,COLUMN(),TRUE),2)</f>
        <v>39293.32</v>
      </c>
      <c r="C46" s="48">
        <f t="shared" si="1"/>
        <v>33798.42</v>
      </c>
      <c r="D46" s="48">
        <f>ROUND(IF(MONTH($A46)=12,2.333,1)*VLOOKUP($A46,'Página7'!$A$1:$AA$27,COLUMN(),TRUE),2)</f>
        <v>30936.91</v>
      </c>
      <c r="E46" s="48">
        <f t="shared" si="2"/>
        <v>30003.62</v>
      </c>
      <c r="F46" s="48">
        <f t="shared" si="3"/>
        <v>17896.05</v>
      </c>
      <c r="G46" s="48">
        <f>ROUND(IF(MONTH($A46)=12,2.333,1)*VLOOKUP($A46,'Página7'!$A$1:$AA$27,COLUMN(),TRUE),2)</f>
        <v>27369.67</v>
      </c>
      <c r="H46" s="48">
        <f>ROUND(IF(MONTH($A46)=12,2.333,1)*VLOOKUP($A46,'Página7'!$A$1:$AA$27,COLUMN(),TRUE),2)</f>
        <v>12514.58</v>
      </c>
      <c r="I46" s="48">
        <f>ROUND(IF(MONTH($A46)=12,2.333,1)*VLOOKUP($A46,'Página7'!$A$1:$AA$27,COLUMN(),TRUE),2)</f>
        <v>26223.37</v>
      </c>
      <c r="J46" s="48">
        <f t="shared" si="4"/>
        <v>23195.74</v>
      </c>
      <c r="K46" s="48">
        <f>ROUND(IF(MONTH($A46)=12,2.333,1)*VLOOKUP($A46,'Página7'!$A$1:$AA$27,COLUMN(),TRUE),2)</f>
        <v>20831.4</v>
      </c>
      <c r="L46" s="48">
        <f t="shared" si="5"/>
        <v>20444.52</v>
      </c>
      <c r="M46" s="48">
        <f t="shared" si="6"/>
        <v>12545.98</v>
      </c>
      <c r="N46" s="48">
        <f>ROUND(IF(MONTH($A46)=12,2.333,1)*VLOOKUP($A46,'Página7'!$A$1:$AA$27,COLUMN(),TRUE),2)</f>
        <v>18529.64</v>
      </c>
      <c r="O46" s="48">
        <f>ROUND(IF(MONTH($A46)=12,2.333,1)*VLOOKUP($A46,'Página7'!$A$1:$AA$27,COLUMN(),TRUE),2)</f>
        <v>8944.4</v>
      </c>
      <c r="P46" s="48">
        <f>VLOOKUP($A46,'Página7'!$A$1:$AA$27,COLUMN(),TRUE)</f>
        <v>27303.7</v>
      </c>
      <c r="Q46" s="48">
        <f>VLOOKUP($A46,'Página7'!$A$1:$AA$27,COLUMN(),TRUE)</f>
        <v>7216.35</v>
      </c>
      <c r="R46" s="48">
        <f>VLOOKUP($A46,'Página7'!$A$1:$AA$27,COLUMN(),TRUE)</f>
        <v>27303.62</v>
      </c>
      <c r="S46" s="48">
        <f>VLOOKUP($A46,'Página7'!$A$1:$AA$27,COLUMN(),TRUE)</f>
        <v>3000</v>
      </c>
      <c r="T46" s="48">
        <f>VLOOKUP($A46,'Página7'!$A$1:$AA$27,COLUMN(),TRUE)</f>
        <v>16276.05</v>
      </c>
      <c r="U46" s="48">
        <f>VLOOKUP($A46,'Página7'!$A$1:$AA$27,COLUMN(),TRUE)</f>
        <v>1800</v>
      </c>
      <c r="V46" s="48">
        <f>VLOOKUP($A46,'Página7'!$A$1:$AA$27,COLUMN(),TRUE)</f>
        <v>18487.07025</v>
      </c>
      <c r="W46" s="48">
        <f>VLOOKUP($A46,'Página7'!$A$1:$AA$27,COLUMN(),TRUE)</f>
        <v>5231.85375</v>
      </c>
      <c r="X46" s="48">
        <f>VLOOKUP($A46,'Página7'!$A$1:$AA$27,COLUMN(),TRUE)</f>
        <v>18487.0195</v>
      </c>
      <c r="Y46" s="48">
        <f>VLOOKUP($A46,'Página7'!$A$1:$AA$27,COLUMN(),TRUE)</f>
        <v>2175</v>
      </c>
      <c r="Z46" s="48">
        <f>VLOOKUP($A46,'Página7'!$A$1:$AA$27,COLUMN(),TRUE)</f>
        <v>11371.478</v>
      </c>
      <c r="AA46" s="48">
        <f>VLOOKUP($A46,'Página7'!$A$1:$AA$27,COLUMN(),TRUE)</f>
        <v>1305</v>
      </c>
    </row>
    <row r="47">
      <c r="A47" s="34">
        <v>43739.0</v>
      </c>
      <c r="B47" s="48">
        <f>ROUND(IF(MONTH($A47)=12,2.333,1)*VLOOKUP($A47,'Página7'!$A$1:$AA$27,COLUMN(),TRUE),2)</f>
        <v>39293.32</v>
      </c>
      <c r="C47" s="48">
        <f t="shared" si="1"/>
        <v>33798.42</v>
      </c>
      <c r="D47" s="48">
        <f>ROUND(IF(MONTH($A47)=12,2.333,1)*VLOOKUP($A47,'Página7'!$A$1:$AA$27,COLUMN(),TRUE),2)</f>
        <v>30936.91</v>
      </c>
      <c r="E47" s="48">
        <f t="shared" si="2"/>
        <v>30003.62</v>
      </c>
      <c r="F47" s="48">
        <f t="shared" si="3"/>
        <v>17896.05</v>
      </c>
      <c r="G47" s="48">
        <f>ROUND(IF(MONTH($A47)=12,2.333,1)*VLOOKUP($A47,'Página7'!$A$1:$AA$27,COLUMN(),TRUE),2)</f>
        <v>27369.67</v>
      </c>
      <c r="H47" s="48">
        <f>ROUND(IF(MONTH($A47)=12,2.333,1)*VLOOKUP($A47,'Página7'!$A$1:$AA$27,COLUMN(),TRUE),2)</f>
        <v>12514.58</v>
      </c>
      <c r="I47" s="48">
        <f>ROUND(IF(MONTH($A47)=12,2.333,1)*VLOOKUP($A47,'Página7'!$A$1:$AA$27,COLUMN(),TRUE),2)</f>
        <v>26223.37</v>
      </c>
      <c r="J47" s="48">
        <f t="shared" si="4"/>
        <v>23195.74</v>
      </c>
      <c r="K47" s="48">
        <f>ROUND(IF(MONTH($A47)=12,2.333,1)*VLOOKUP($A47,'Página7'!$A$1:$AA$27,COLUMN(),TRUE),2)</f>
        <v>20831.4</v>
      </c>
      <c r="L47" s="48">
        <f t="shared" si="5"/>
        <v>20444.52</v>
      </c>
      <c r="M47" s="48">
        <f t="shared" si="6"/>
        <v>12545.98</v>
      </c>
      <c r="N47" s="48">
        <f>ROUND(IF(MONTH($A47)=12,2.333,1)*VLOOKUP($A47,'Página7'!$A$1:$AA$27,COLUMN(),TRUE),2)</f>
        <v>18529.64</v>
      </c>
      <c r="O47" s="48">
        <f>ROUND(IF(MONTH($A47)=12,2.333,1)*VLOOKUP($A47,'Página7'!$A$1:$AA$27,COLUMN(),TRUE),2)</f>
        <v>8944.4</v>
      </c>
      <c r="P47" s="48">
        <f>VLOOKUP($A47,'Página7'!$A$1:$AA$27,COLUMN(),TRUE)</f>
        <v>27303.7</v>
      </c>
      <c r="Q47" s="48">
        <f>VLOOKUP($A47,'Página7'!$A$1:$AA$27,COLUMN(),TRUE)</f>
        <v>7216.35</v>
      </c>
      <c r="R47" s="48">
        <f>VLOOKUP($A47,'Página7'!$A$1:$AA$27,COLUMN(),TRUE)</f>
        <v>27303.62</v>
      </c>
      <c r="S47" s="48">
        <f>VLOOKUP($A47,'Página7'!$A$1:$AA$27,COLUMN(),TRUE)</f>
        <v>3000</v>
      </c>
      <c r="T47" s="48">
        <f>VLOOKUP($A47,'Página7'!$A$1:$AA$27,COLUMN(),TRUE)</f>
        <v>16276.05</v>
      </c>
      <c r="U47" s="48">
        <f>VLOOKUP($A47,'Página7'!$A$1:$AA$27,COLUMN(),TRUE)</f>
        <v>1800</v>
      </c>
      <c r="V47" s="48">
        <f>VLOOKUP($A47,'Página7'!$A$1:$AA$27,COLUMN(),TRUE)</f>
        <v>18487.07025</v>
      </c>
      <c r="W47" s="48">
        <f>VLOOKUP($A47,'Página7'!$A$1:$AA$27,COLUMN(),TRUE)</f>
        <v>5231.85375</v>
      </c>
      <c r="X47" s="48">
        <f>VLOOKUP($A47,'Página7'!$A$1:$AA$27,COLUMN(),TRUE)</f>
        <v>18487.0195</v>
      </c>
      <c r="Y47" s="48">
        <f>VLOOKUP($A47,'Página7'!$A$1:$AA$27,COLUMN(),TRUE)</f>
        <v>2175</v>
      </c>
      <c r="Z47" s="48">
        <f>VLOOKUP($A47,'Página7'!$A$1:$AA$27,COLUMN(),TRUE)</f>
        <v>11371.478</v>
      </c>
      <c r="AA47" s="48">
        <f>VLOOKUP($A47,'Página7'!$A$1:$AA$27,COLUMN(),TRUE)</f>
        <v>1305</v>
      </c>
    </row>
    <row r="48">
      <c r="A48" s="34">
        <v>43770.0</v>
      </c>
      <c r="B48" s="48">
        <f>ROUND(IF(MONTH($A48)=12,2.333,1)*VLOOKUP($A48,'Página7'!$A$1:$AA$27,COLUMN(),TRUE),2)</f>
        <v>39293.32</v>
      </c>
      <c r="C48" s="48">
        <f t="shared" si="1"/>
        <v>33798.42</v>
      </c>
      <c r="D48" s="48">
        <f>ROUND(IF(MONTH($A48)=12,2.333,1)*VLOOKUP($A48,'Página7'!$A$1:$AA$27,COLUMN(),TRUE),2)</f>
        <v>30936.91</v>
      </c>
      <c r="E48" s="48">
        <f t="shared" si="2"/>
        <v>30003.62</v>
      </c>
      <c r="F48" s="48">
        <f t="shared" si="3"/>
        <v>17896.05</v>
      </c>
      <c r="G48" s="48">
        <f>ROUND(IF(MONTH($A48)=12,2.333,1)*VLOOKUP($A48,'Página7'!$A$1:$AA$27,COLUMN(),TRUE),2)</f>
        <v>27369.67</v>
      </c>
      <c r="H48" s="48">
        <f>ROUND(IF(MONTH($A48)=12,2.333,1)*VLOOKUP($A48,'Página7'!$A$1:$AA$27,COLUMN(),TRUE),2)</f>
        <v>12514.58</v>
      </c>
      <c r="I48" s="48">
        <f>ROUND(IF(MONTH($A48)=12,2.333,1)*VLOOKUP($A48,'Página7'!$A$1:$AA$27,COLUMN(),TRUE),2)</f>
        <v>26223.37</v>
      </c>
      <c r="J48" s="48">
        <f t="shared" si="4"/>
        <v>23195.74</v>
      </c>
      <c r="K48" s="48">
        <f>ROUND(IF(MONTH($A48)=12,2.333,1)*VLOOKUP($A48,'Página7'!$A$1:$AA$27,COLUMN(),TRUE),2)</f>
        <v>20831.4</v>
      </c>
      <c r="L48" s="48">
        <f t="shared" si="5"/>
        <v>20444.52</v>
      </c>
      <c r="M48" s="48">
        <f t="shared" si="6"/>
        <v>12545.98</v>
      </c>
      <c r="N48" s="48">
        <f>ROUND(IF(MONTH($A48)=12,2.333,1)*VLOOKUP($A48,'Página7'!$A$1:$AA$27,COLUMN(),TRUE),2)</f>
        <v>18529.64</v>
      </c>
      <c r="O48" s="48">
        <f>ROUND(IF(MONTH($A48)=12,2.333,1)*VLOOKUP($A48,'Página7'!$A$1:$AA$27,COLUMN(),TRUE),2)</f>
        <v>8944.4</v>
      </c>
      <c r="P48" s="48">
        <f>VLOOKUP($A48,'Página7'!$A$1:$AA$27,COLUMN(),TRUE)</f>
        <v>27303.7</v>
      </c>
      <c r="Q48" s="48">
        <f>VLOOKUP($A48,'Página7'!$A$1:$AA$27,COLUMN(),TRUE)</f>
        <v>7216.35</v>
      </c>
      <c r="R48" s="48">
        <f>VLOOKUP($A48,'Página7'!$A$1:$AA$27,COLUMN(),TRUE)</f>
        <v>27303.62</v>
      </c>
      <c r="S48" s="48">
        <f>VLOOKUP($A48,'Página7'!$A$1:$AA$27,COLUMN(),TRUE)</f>
        <v>3000</v>
      </c>
      <c r="T48" s="48">
        <f>VLOOKUP($A48,'Página7'!$A$1:$AA$27,COLUMN(),TRUE)</f>
        <v>16276.05</v>
      </c>
      <c r="U48" s="48">
        <f>VLOOKUP($A48,'Página7'!$A$1:$AA$27,COLUMN(),TRUE)</f>
        <v>1800</v>
      </c>
      <c r="V48" s="48">
        <f>VLOOKUP($A48,'Página7'!$A$1:$AA$27,COLUMN(),TRUE)</f>
        <v>18487.07025</v>
      </c>
      <c r="W48" s="48">
        <f>VLOOKUP($A48,'Página7'!$A$1:$AA$27,COLUMN(),TRUE)</f>
        <v>5231.85375</v>
      </c>
      <c r="X48" s="48">
        <f>VLOOKUP($A48,'Página7'!$A$1:$AA$27,COLUMN(),TRUE)</f>
        <v>18487.0195</v>
      </c>
      <c r="Y48" s="48">
        <f>VLOOKUP($A48,'Página7'!$A$1:$AA$27,COLUMN(),TRUE)</f>
        <v>2175</v>
      </c>
      <c r="Z48" s="48">
        <f>VLOOKUP($A48,'Página7'!$A$1:$AA$27,COLUMN(),TRUE)</f>
        <v>11371.478</v>
      </c>
      <c r="AA48" s="48">
        <f>VLOOKUP($A48,'Página7'!$A$1:$AA$27,COLUMN(),TRUE)</f>
        <v>1305</v>
      </c>
    </row>
    <row r="49">
      <c r="A49" s="34">
        <v>43800.0</v>
      </c>
      <c r="B49" s="48">
        <f>ROUND(IF(MONTH($A49)=12,2.333,1)*VLOOKUP($A49,'Página7'!$A$1:$AA$27,COLUMN(),TRUE),2)</f>
        <v>91671.32</v>
      </c>
      <c r="C49" s="48">
        <f t="shared" si="1"/>
        <v>78851.71</v>
      </c>
      <c r="D49" s="48">
        <f>ROUND(IF(MONTH($A49)=12,2.333,1)*VLOOKUP($A49,'Página7'!$A$1:$AA$27,COLUMN(),TRUE),2)</f>
        <v>72175.81</v>
      </c>
      <c r="E49" s="48">
        <f t="shared" si="2"/>
        <v>69998.45</v>
      </c>
      <c r="F49" s="48">
        <f t="shared" si="3"/>
        <v>41751.48</v>
      </c>
      <c r="G49" s="48">
        <f>ROUND(IF(MONTH($A49)=12,2.333,1)*VLOOKUP($A49,'Página7'!$A$1:$AA$27,COLUMN(),TRUE),2)</f>
        <v>63853.44</v>
      </c>
      <c r="H49" s="48">
        <f>ROUND(IF(MONTH($A49)=12,2.333,1)*VLOOKUP($A49,'Página7'!$A$1:$AA$27,COLUMN(),TRUE),2)</f>
        <v>29196.52</v>
      </c>
      <c r="I49" s="48">
        <f>ROUND(IF(MONTH($A49)=12,2.333,1)*VLOOKUP($A49,'Página7'!$A$1:$AA$27,COLUMN(),TRUE),2)</f>
        <v>61179.13</v>
      </c>
      <c r="J49" s="48">
        <f t="shared" si="4"/>
        <v>54115.66</v>
      </c>
      <c r="K49" s="48">
        <f>ROUND(IF(MONTH($A49)=12,2.333,1)*VLOOKUP($A49,'Página7'!$A$1:$AA$27,COLUMN(),TRUE),2)</f>
        <v>48599.66</v>
      </c>
      <c r="L49" s="48">
        <f t="shared" si="5"/>
        <v>47697.06</v>
      </c>
      <c r="M49" s="48">
        <f t="shared" si="6"/>
        <v>29269.77</v>
      </c>
      <c r="N49" s="48">
        <f>ROUND(IF(MONTH($A49)=12,2.333,1)*VLOOKUP($A49,'Página7'!$A$1:$AA$27,COLUMN(),TRUE),2)</f>
        <v>43229.66</v>
      </c>
      <c r="O49" s="48">
        <f>ROUND(IF(MONTH($A49)=12,2.333,1)*VLOOKUP($A49,'Página7'!$A$1:$AA$27,COLUMN(),TRUE),2)</f>
        <v>20867.27</v>
      </c>
      <c r="P49" s="48">
        <f>VLOOKUP($A49,'Página7'!$A$1:$AA$27,COLUMN(),TRUE)</f>
        <v>27303.7</v>
      </c>
      <c r="Q49" s="48">
        <f>VLOOKUP($A49,'Página7'!$A$1:$AA$27,COLUMN(),TRUE)</f>
        <v>7216.35</v>
      </c>
      <c r="R49" s="48">
        <f>VLOOKUP($A49,'Página7'!$A$1:$AA$27,COLUMN(),TRUE)</f>
        <v>27303.62</v>
      </c>
      <c r="S49" s="48">
        <f>VLOOKUP($A49,'Página7'!$A$1:$AA$27,COLUMN(),TRUE)</f>
        <v>3000</v>
      </c>
      <c r="T49" s="48">
        <f>VLOOKUP($A49,'Página7'!$A$1:$AA$27,COLUMN(),TRUE)</f>
        <v>16276.05</v>
      </c>
      <c r="U49" s="48">
        <f>VLOOKUP($A49,'Página7'!$A$1:$AA$27,COLUMN(),TRUE)</f>
        <v>1800</v>
      </c>
      <c r="V49" s="48">
        <f>VLOOKUP($A49,'Página7'!$A$1:$AA$27,COLUMN(),TRUE)</f>
        <v>18487.07025</v>
      </c>
      <c r="W49" s="48">
        <f>VLOOKUP($A49,'Página7'!$A$1:$AA$27,COLUMN(),TRUE)</f>
        <v>5231.85375</v>
      </c>
      <c r="X49" s="48">
        <f>VLOOKUP($A49,'Página7'!$A$1:$AA$27,COLUMN(),TRUE)</f>
        <v>18487.0195</v>
      </c>
      <c r="Y49" s="48">
        <f>VLOOKUP($A49,'Página7'!$A$1:$AA$27,COLUMN(),TRUE)</f>
        <v>2175</v>
      </c>
      <c r="Z49" s="48">
        <f>VLOOKUP($A49,'Página7'!$A$1:$AA$27,COLUMN(),TRUE)</f>
        <v>11371.478</v>
      </c>
      <c r="AA49" s="48">
        <f>VLOOKUP($A49,'Página7'!$A$1:$AA$27,COLUMN(),TRUE)</f>
        <v>1305</v>
      </c>
    </row>
    <row r="50">
      <c r="A50" s="34">
        <v>43831.0</v>
      </c>
      <c r="B50" s="48">
        <f>ROUND(IF(MONTH($A50)=12,2.333,1)*VLOOKUP($A50,'Página7'!$A$1:$AA$27,COLUMN(),TRUE),2)</f>
        <v>39293.32</v>
      </c>
      <c r="C50" s="48">
        <f t="shared" si="1"/>
        <v>34368.7</v>
      </c>
      <c r="D50" s="48">
        <f>ROUND(IF(MONTH($A50)=12,2.333,1)*VLOOKUP($A50,'Página7'!$A$1:$AA$27,COLUMN(),TRUE),2)</f>
        <v>30936.91</v>
      </c>
      <c r="E50" s="48">
        <f t="shared" si="2"/>
        <v>30003.62</v>
      </c>
      <c r="F50" s="48">
        <f t="shared" si="3"/>
        <v>17896.05</v>
      </c>
      <c r="G50" s="48">
        <f>ROUND(IF(MONTH($A50)=12,2.333,1)*VLOOKUP($A50,'Página7'!$A$1:$AA$27,COLUMN(),TRUE),2)</f>
        <v>27369.67</v>
      </c>
      <c r="H50" s="48">
        <f>ROUND(IF(MONTH($A50)=12,2.333,1)*VLOOKUP($A50,'Página7'!$A$1:$AA$27,COLUMN(),TRUE),2)</f>
        <v>12514.58</v>
      </c>
      <c r="I50" s="48">
        <f>ROUND(IF(MONTH($A50)=12,2.333,1)*VLOOKUP($A50,'Página7'!$A$1:$AA$27,COLUMN(),TRUE),2)</f>
        <v>26223.37</v>
      </c>
      <c r="J50" s="48">
        <f t="shared" si="4"/>
        <v>23609.2</v>
      </c>
      <c r="K50" s="48">
        <f>ROUND(IF(MONTH($A50)=12,2.333,1)*VLOOKUP($A50,'Página7'!$A$1:$AA$27,COLUMN(),TRUE),2)</f>
        <v>20831.4</v>
      </c>
      <c r="L50" s="48">
        <f t="shared" si="5"/>
        <v>20444.52</v>
      </c>
      <c r="M50" s="48">
        <f t="shared" si="6"/>
        <v>12545.98</v>
      </c>
      <c r="N50" s="48">
        <f>ROUND(IF(MONTH($A50)=12,2.333,1)*VLOOKUP($A50,'Página7'!$A$1:$AA$27,COLUMN(),TRUE),2)</f>
        <v>18529.64</v>
      </c>
      <c r="O50" s="48">
        <f>ROUND(IF(MONTH($A50)=12,2.333,1)*VLOOKUP($A50,'Página7'!$A$1:$AA$27,COLUMN(),TRUE),2)</f>
        <v>8944.4</v>
      </c>
      <c r="P50" s="48">
        <f>VLOOKUP($A50,'Página7'!$A$1:$AA$27,COLUMN(),TRUE)</f>
        <v>27303.7</v>
      </c>
      <c r="Q50" s="48">
        <f>VLOOKUP($A50,'Página7'!$A$1:$AA$27,COLUMN(),TRUE)</f>
        <v>7850</v>
      </c>
      <c r="R50" s="48">
        <f>VLOOKUP($A50,'Página7'!$A$1:$AA$27,COLUMN(),TRUE)</f>
        <v>27303.62</v>
      </c>
      <c r="S50" s="48">
        <f>VLOOKUP($A50,'Página7'!$A$1:$AA$27,COLUMN(),TRUE)</f>
        <v>3000</v>
      </c>
      <c r="T50" s="48">
        <f>VLOOKUP($A50,'Página7'!$A$1:$AA$27,COLUMN(),TRUE)</f>
        <v>16276.05</v>
      </c>
      <c r="U50" s="48">
        <f>VLOOKUP($A50,'Página7'!$A$1:$AA$27,COLUMN(),TRUE)</f>
        <v>1800</v>
      </c>
      <c r="V50" s="48">
        <f>VLOOKUP($A50,'Página7'!$A$1:$AA$27,COLUMN(),TRUE)</f>
        <v>18487.07025</v>
      </c>
      <c r="W50" s="48">
        <f>VLOOKUP($A50,'Página7'!$A$1:$AA$27,COLUMN(),TRUE)</f>
        <v>5691.25</v>
      </c>
      <c r="X50" s="48">
        <f>VLOOKUP($A50,'Página7'!$A$1:$AA$27,COLUMN(),TRUE)</f>
        <v>18487.0195</v>
      </c>
      <c r="Y50" s="48">
        <f>VLOOKUP($A50,'Página7'!$A$1:$AA$27,COLUMN(),TRUE)</f>
        <v>2175</v>
      </c>
      <c r="Z50" s="48">
        <f>VLOOKUP($A50,'Página7'!$A$1:$AA$27,COLUMN(),TRUE)</f>
        <v>11371.478</v>
      </c>
      <c r="AA50" s="48">
        <f>VLOOKUP($A50,'Página7'!$A$1:$AA$27,COLUMN(),TRUE)</f>
        <v>1305</v>
      </c>
    </row>
    <row r="51">
      <c r="A51" s="34">
        <v>43862.0</v>
      </c>
      <c r="B51" s="48">
        <f>ROUND(IF(MONTH($A51)=12,2.333,1)*VLOOKUP($A51,'Página7'!$A$1:$AA$27,COLUMN(),TRUE),2)</f>
        <v>39293.32</v>
      </c>
      <c r="C51" s="48">
        <f t="shared" si="1"/>
        <v>34368.7</v>
      </c>
      <c r="D51" s="48">
        <f>ROUND(IF(MONTH($A51)=12,2.333,1)*VLOOKUP($A51,'Página7'!$A$1:$AA$27,COLUMN(),TRUE),2)</f>
        <v>30936.91</v>
      </c>
      <c r="E51" s="48">
        <f t="shared" si="2"/>
        <v>30003.62</v>
      </c>
      <c r="F51" s="48">
        <f t="shared" si="3"/>
        <v>17896.05</v>
      </c>
      <c r="G51" s="48">
        <f>ROUND(IF(MONTH($A51)=12,2.333,1)*VLOOKUP($A51,'Página7'!$A$1:$AA$27,COLUMN(),TRUE),2)</f>
        <v>27369.67</v>
      </c>
      <c r="H51" s="48">
        <f>ROUND(IF(MONTH($A51)=12,2.333,1)*VLOOKUP($A51,'Página7'!$A$1:$AA$27,COLUMN(),TRUE),2)</f>
        <v>12514.58</v>
      </c>
      <c r="I51" s="48">
        <f>ROUND(IF(MONTH($A51)=12,2.333,1)*VLOOKUP($A51,'Página7'!$A$1:$AA$27,COLUMN(),TRUE),2)</f>
        <v>26223.37</v>
      </c>
      <c r="J51" s="48">
        <f t="shared" si="4"/>
        <v>23609.2</v>
      </c>
      <c r="K51" s="48">
        <f>ROUND(IF(MONTH($A51)=12,2.333,1)*VLOOKUP($A51,'Página7'!$A$1:$AA$27,COLUMN(),TRUE),2)</f>
        <v>20831.4</v>
      </c>
      <c r="L51" s="48">
        <f t="shared" si="5"/>
        <v>20444.52</v>
      </c>
      <c r="M51" s="48">
        <f t="shared" si="6"/>
        <v>12545.98</v>
      </c>
      <c r="N51" s="48">
        <f>ROUND(IF(MONTH($A51)=12,2.333,1)*VLOOKUP($A51,'Página7'!$A$1:$AA$27,COLUMN(),TRUE),2)</f>
        <v>18529.64</v>
      </c>
      <c r="O51" s="48">
        <f>ROUND(IF(MONTH($A51)=12,2.333,1)*VLOOKUP($A51,'Página7'!$A$1:$AA$27,COLUMN(),TRUE),2)</f>
        <v>8944.4</v>
      </c>
      <c r="P51" s="48">
        <f>VLOOKUP($A51,'Página7'!$A$1:$AA$27,COLUMN(),TRUE)</f>
        <v>27303.7</v>
      </c>
      <c r="Q51" s="48">
        <f>VLOOKUP($A51,'Página7'!$A$1:$AA$27,COLUMN(),TRUE)</f>
        <v>7850</v>
      </c>
      <c r="R51" s="48">
        <f>VLOOKUP($A51,'Página7'!$A$1:$AA$27,COLUMN(),TRUE)</f>
        <v>27303.62</v>
      </c>
      <c r="S51" s="48">
        <f>VLOOKUP($A51,'Página7'!$A$1:$AA$27,COLUMN(),TRUE)</f>
        <v>3000</v>
      </c>
      <c r="T51" s="48">
        <f>VLOOKUP($A51,'Página7'!$A$1:$AA$27,COLUMN(),TRUE)</f>
        <v>16276.05</v>
      </c>
      <c r="U51" s="48">
        <f>VLOOKUP($A51,'Página7'!$A$1:$AA$27,COLUMN(),TRUE)</f>
        <v>1800</v>
      </c>
      <c r="V51" s="48">
        <f>VLOOKUP($A51,'Página7'!$A$1:$AA$27,COLUMN(),TRUE)</f>
        <v>18487.07025</v>
      </c>
      <c r="W51" s="48">
        <f>VLOOKUP($A51,'Página7'!$A$1:$AA$27,COLUMN(),TRUE)</f>
        <v>5691.25</v>
      </c>
      <c r="X51" s="48">
        <f>VLOOKUP($A51,'Página7'!$A$1:$AA$27,COLUMN(),TRUE)</f>
        <v>18487.0195</v>
      </c>
      <c r="Y51" s="48">
        <f>VLOOKUP($A51,'Página7'!$A$1:$AA$27,COLUMN(),TRUE)</f>
        <v>2175</v>
      </c>
      <c r="Z51" s="48">
        <f>VLOOKUP($A51,'Página7'!$A$1:$AA$27,COLUMN(),TRUE)</f>
        <v>11371.478</v>
      </c>
      <c r="AA51" s="48">
        <f>VLOOKUP($A51,'Página7'!$A$1:$AA$27,COLUMN(),TRUE)</f>
        <v>1305</v>
      </c>
    </row>
    <row r="52">
      <c r="A52" s="34">
        <v>43891.0</v>
      </c>
      <c r="B52" s="48">
        <f>ROUND(IF(MONTH($A52)=12,2.333,1)*VLOOKUP($A52,'Página7'!$A$1:$AA$27,COLUMN(),TRUE),2)</f>
        <v>39293.32</v>
      </c>
      <c r="C52" s="48">
        <f t="shared" si="1"/>
        <v>34630.33</v>
      </c>
      <c r="D52" s="48">
        <f>ROUND(IF(MONTH($A52)=12,2.333,1)*VLOOKUP($A52,'Página7'!$A$1:$AA$27,COLUMN(),TRUE),2)</f>
        <v>30936.91</v>
      </c>
      <c r="E52" s="48">
        <f t="shared" si="2"/>
        <v>30003.62</v>
      </c>
      <c r="F52" s="48">
        <f t="shared" si="3"/>
        <v>17896.05</v>
      </c>
      <c r="G52" s="48">
        <f>ROUND(IF(MONTH($A52)=12,2.333,1)*VLOOKUP($A52,'Página7'!$A$1:$AA$27,COLUMN(),TRUE),2)</f>
        <v>27369.67</v>
      </c>
      <c r="H52" s="48">
        <f>ROUND(IF(MONTH($A52)=12,2.333,1)*VLOOKUP($A52,'Página7'!$A$1:$AA$27,COLUMN(),TRUE),2)</f>
        <v>12514.58</v>
      </c>
      <c r="I52" s="48">
        <f>ROUND(IF(MONTH($A52)=12,2.333,1)*VLOOKUP($A52,'Página7'!$A$1:$AA$27,COLUMN(),TRUE),2)</f>
        <v>24598.99</v>
      </c>
      <c r="J52" s="48">
        <f t="shared" si="4"/>
        <v>22869.9</v>
      </c>
      <c r="K52" s="48">
        <f>ROUND(IF(MONTH($A52)=12,2.333,1)*VLOOKUP($A52,'Página7'!$A$1:$AA$27,COLUMN(),TRUE),2)</f>
        <v>19691.69</v>
      </c>
      <c r="L52" s="48">
        <f t="shared" si="5"/>
        <v>19515.54</v>
      </c>
      <c r="M52" s="48">
        <f t="shared" si="6"/>
        <v>12256.6</v>
      </c>
      <c r="N52" s="48">
        <f>ROUND(IF(MONTH($A52)=12,2.333,1)*VLOOKUP($A52,'Página7'!$A$1:$AA$27,COLUMN(),TRUE),2)</f>
        <v>17596.83</v>
      </c>
      <c r="O52" s="48">
        <f>ROUND(IF(MONTH($A52)=12,2.333,1)*VLOOKUP($A52,'Página7'!$A$1:$AA$27,COLUMN(),TRUE),2)</f>
        <v>8873.18</v>
      </c>
      <c r="P52" s="48">
        <f>VLOOKUP($A52,'Página7'!$A$1:$AA$27,COLUMN(),TRUE)</f>
        <v>27303.7</v>
      </c>
      <c r="Q52" s="48">
        <f>VLOOKUP($A52,'Página7'!$A$1:$AA$27,COLUMN(),TRUE)</f>
        <v>8140.7</v>
      </c>
      <c r="R52" s="48">
        <f>VLOOKUP($A52,'Página7'!$A$1:$AA$27,COLUMN(),TRUE)</f>
        <v>27303.62</v>
      </c>
      <c r="S52" s="48">
        <f>VLOOKUP($A52,'Página7'!$A$1:$AA$27,COLUMN(),TRUE)</f>
        <v>3000</v>
      </c>
      <c r="T52" s="48">
        <f>VLOOKUP($A52,'Página7'!$A$1:$AA$27,COLUMN(),TRUE)</f>
        <v>16276.05</v>
      </c>
      <c r="U52" s="48">
        <f>VLOOKUP($A52,'Página7'!$A$1:$AA$27,COLUMN(),TRUE)</f>
        <v>1800</v>
      </c>
      <c r="V52" s="48">
        <f>VLOOKUP($A52,'Página7'!$A$1:$AA$27,COLUMN(),TRUE)</f>
        <v>17558.0915</v>
      </c>
      <c r="W52" s="48">
        <f>VLOOKUP($A52,'Página7'!$A$1:$AA$27,COLUMN(),TRUE)</f>
        <v>5902.0075</v>
      </c>
      <c r="X52" s="48">
        <f>VLOOKUP($A52,'Página7'!$A$1:$AA$27,COLUMN(),TRUE)</f>
        <v>17558.04075</v>
      </c>
      <c r="Y52" s="48">
        <f>VLOOKUP($A52,'Página7'!$A$1:$AA$27,COLUMN(),TRUE)</f>
        <v>2175</v>
      </c>
      <c r="Z52" s="48">
        <f>VLOOKUP($A52,'Página7'!$A$1:$AA$27,COLUMN(),TRUE)</f>
        <v>11082.1015</v>
      </c>
      <c r="AA52" s="48">
        <f>VLOOKUP($A52,'Página7'!$A$1:$AA$27,COLUMN(),TRUE)</f>
        <v>1305</v>
      </c>
    </row>
    <row r="53">
      <c r="A53" s="34">
        <v>43922.0</v>
      </c>
      <c r="B53" s="48">
        <f>ROUND(IF(MONTH($A53)=12,2.333,1)*VLOOKUP($A53,'Página7'!$A$1:$AA$27,COLUMN(),TRUE),2)</f>
        <v>39293.32</v>
      </c>
      <c r="C53" s="48">
        <f t="shared" si="1"/>
        <v>34630.33</v>
      </c>
      <c r="D53" s="48">
        <f>ROUND(IF(MONTH($A53)=12,2.333,1)*VLOOKUP($A53,'Página7'!$A$1:$AA$27,COLUMN(),TRUE),2)</f>
        <v>30936.91</v>
      </c>
      <c r="E53" s="48">
        <f t="shared" si="2"/>
        <v>30003.62</v>
      </c>
      <c r="F53" s="48">
        <f t="shared" si="3"/>
        <v>17896.05</v>
      </c>
      <c r="G53" s="48">
        <f>ROUND(IF(MONTH($A53)=12,2.333,1)*VLOOKUP($A53,'Página7'!$A$1:$AA$27,COLUMN(),TRUE),2)</f>
        <v>27369.67</v>
      </c>
      <c r="H53" s="48">
        <f>ROUND(IF(MONTH($A53)=12,2.333,1)*VLOOKUP($A53,'Página7'!$A$1:$AA$27,COLUMN(),TRUE),2)</f>
        <v>12514.58</v>
      </c>
      <c r="I53" s="48">
        <f>ROUND(IF(MONTH($A53)=12,2.333,1)*VLOOKUP($A53,'Página7'!$A$1:$AA$27,COLUMN(),TRUE),2)</f>
        <v>24598.99</v>
      </c>
      <c r="J53" s="48">
        <f t="shared" si="4"/>
        <v>22869.9</v>
      </c>
      <c r="K53" s="48">
        <f>ROUND(IF(MONTH($A53)=12,2.333,1)*VLOOKUP($A53,'Página7'!$A$1:$AA$27,COLUMN(),TRUE),2)</f>
        <v>19691.69</v>
      </c>
      <c r="L53" s="48">
        <f t="shared" si="5"/>
        <v>19515.54</v>
      </c>
      <c r="M53" s="48">
        <f t="shared" si="6"/>
        <v>12256.6</v>
      </c>
      <c r="N53" s="48">
        <f>ROUND(IF(MONTH($A53)=12,2.333,1)*VLOOKUP($A53,'Página7'!$A$1:$AA$27,COLUMN(),TRUE),2)</f>
        <v>17596.83</v>
      </c>
      <c r="O53" s="48">
        <f>ROUND(IF(MONTH($A53)=12,2.333,1)*VLOOKUP($A53,'Página7'!$A$1:$AA$27,COLUMN(),TRUE),2)</f>
        <v>8873.18</v>
      </c>
      <c r="P53" s="48">
        <f>VLOOKUP($A53,'Página7'!$A$1:$AA$27,COLUMN(),TRUE)</f>
        <v>27303.7</v>
      </c>
      <c r="Q53" s="48">
        <f>VLOOKUP($A53,'Página7'!$A$1:$AA$27,COLUMN(),TRUE)</f>
        <v>8140.7</v>
      </c>
      <c r="R53" s="48">
        <f>VLOOKUP($A53,'Página7'!$A$1:$AA$27,COLUMN(),TRUE)</f>
        <v>27303.62</v>
      </c>
      <c r="S53" s="48">
        <f>VLOOKUP($A53,'Página7'!$A$1:$AA$27,COLUMN(),TRUE)</f>
        <v>3000</v>
      </c>
      <c r="T53" s="48">
        <f>VLOOKUP($A53,'Página7'!$A$1:$AA$27,COLUMN(),TRUE)</f>
        <v>16276.05</v>
      </c>
      <c r="U53" s="48">
        <f>VLOOKUP($A53,'Página7'!$A$1:$AA$27,COLUMN(),TRUE)</f>
        <v>1800</v>
      </c>
      <c r="V53" s="48">
        <f>VLOOKUP($A53,'Página7'!$A$1:$AA$27,COLUMN(),TRUE)</f>
        <v>17558.0915</v>
      </c>
      <c r="W53" s="48">
        <f>VLOOKUP($A53,'Página7'!$A$1:$AA$27,COLUMN(),TRUE)</f>
        <v>5902.0075</v>
      </c>
      <c r="X53" s="48">
        <f>VLOOKUP($A53,'Página7'!$A$1:$AA$27,COLUMN(),TRUE)</f>
        <v>17558.04075</v>
      </c>
      <c r="Y53" s="48">
        <f>VLOOKUP($A53,'Página7'!$A$1:$AA$27,COLUMN(),TRUE)</f>
        <v>2175</v>
      </c>
      <c r="Z53" s="48">
        <f>VLOOKUP($A53,'Página7'!$A$1:$AA$27,COLUMN(),TRUE)</f>
        <v>11082.1015</v>
      </c>
      <c r="AA53" s="48">
        <f>VLOOKUP($A53,'Página7'!$A$1:$AA$27,COLUMN(),TRUE)</f>
        <v>1305</v>
      </c>
    </row>
    <row r="54">
      <c r="A54" s="34">
        <v>43952.0</v>
      </c>
      <c r="B54" s="48">
        <f>ROUND(IF(MONTH($A54)=12,2.333,1)*VLOOKUP($A54,'Página7'!$A$1:$AA$27,COLUMN(),TRUE),2)</f>
        <v>39293.32</v>
      </c>
      <c r="C54" s="48">
        <f t="shared" si="1"/>
        <v>34630.33</v>
      </c>
      <c r="D54" s="48">
        <f>ROUND(IF(MONTH($A54)=12,2.333,1)*VLOOKUP($A54,'Página7'!$A$1:$AA$27,COLUMN(),TRUE),2)</f>
        <v>30936.91</v>
      </c>
      <c r="E54" s="48">
        <f t="shared" si="2"/>
        <v>30003.62</v>
      </c>
      <c r="F54" s="48">
        <f t="shared" si="3"/>
        <v>17896.05</v>
      </c>
      <c r="G54" s="48">
        <f>ROUND(IF(MONTH($A54)=12,2.333,1)*VLOOKUP($A54,'Página7'!$A$1:$AA$27,COLUMN(),TRUE),2)</f>
        <v>27369.67</v>
      </c>
      <c r="H54" s="48">
        <f>ROUND(IF(MONTH($A54)=12,2.333,1)*VLOOKUP($A54,'Página7'!$A$1:$AA$27,COLUMN(),TRUE),2)</f>
        <v>12514.58</v>
      </c>
      <c r="I54" s="48">
        <f>ROUND(IF(MONTH($A54)=12,2.333,1)*VLOOKUP($A54,'Página7'!$A$1:$AA$27,COLUMN(),TRUE),2)</f>
        <v>24598.99</v>
      </c>
      <c r="J54" s="48">
        <f t="shared" si="4"/>
        <v>22869.9</v>
      </c>
      <c r="K54" s="48">
        <f>ROUND(IF(MONTH($A54)=12,2.333,1)*VLOOKUP($A54,'Página7'!$A$1:$AA$27,COLUMN(),TRUE),2)</f>
        <v>19691.69</v>
      </c>
      <c r="L54" s="48">
        <f t="shared" si="5"/>
        <v>19515.54</v>
      </c>
      <c r="M54" s="48">
        <f t="shared" si="6"/>
        <v>12256.6</v>
      </c>
      <c r="N54" s="48">
        <f>ROUND(IF(MONTH($A54)=12,2.333,1)*VLOOKUP($A54,'Página7'!$A$1:$AA$27,COLUMN(),TRUE),2)</f>
        <v>17596.83</v>
      </c>
      <c r="O54" s="48">
        <f>ROUND(IF(MONTH($A54)=12,2.333,1)*VLOOKUP($A54,'Página7'!$A$1:$AA$27,COLUMN(),TRUE),2)</f>
        <v>8873.18</v>
      </c>
      <c r="P54" s="48">
        <f>VLOOKUP($A54,'Página7'!$A$1:$AA$27,COLUMN(),TRUE)</f>
        <v>27303.7</v>
      </c>
      <c r="Q54" s="48">
        <f>VLOOKUP($A54,'Página7'!$A$1:$AA$27,COLUMN(),TRUE)</f>
        <v>8140.7</v>
      </c>
      <c r="R54" s="48">
        <f>VLOOKUP($A54,'Página7'!$A$1:$AA$27,COLUMN(),TRUE)</f>
        <v>27303.62</v>
      </c>
      <c r="S54" s="48">
        <f>VLOOKUP($A54,'Página7'!$A$1:$AA$27,COLUMN(),TRUE)</f>
        <v>3000</v>
      </c>
      <c r="T54" s="48">
        <f>VLOOKUP($A54,'Página7'!$A$1:$AA$27,COLUMN(),TRUE)</f>
        <v>16276.05</v>
      </c>
      <c r="U54" s="48">
        <f>VLOOKUP($A54,'Página7'!$A$1:$AA$27,COLUMN(),TRUE)</f>
        <v>1800</v>
      </c>
      <c r="V54" s="48">
        <f>VLOOKUP($A54,'Página7'!$A$1:$AA$27,COLUMN(),TRUE)</f>
        <v>17558.0915</v>
      </c>
      <c r="W54" s="48">
        <f>VLOOKUP($A54,'Página7'!$A$1:$AA$27,COLUMN(),TRUE)</f>
        <v>5902.0075</v>
      </c>
      <c r="X54" s="48">
        <f>VLOOKUP($A54,'Página7'!$A$1:$AA$27,COLUMN(),TRUE)</f>
        <v>17558.04075</v>
      </c>
      <c r="Y54" s="48">
        <f>VLOOKUP($A54,'Página7'!$A$1:$AA$27,COLUMN(),TRUE)</f>
        <v>2175</v>
      </c>
      <c r="Z54" s="48">
        <f>VLOOKUP($A54,'Página7'!$A$1:$AA$27,COLUMN(),TRUE)</f>
        <v>11082.1015</v>
      </c>
      <c r="AA54" s="48">
        <f>VLOOKUP($A54,'Página7'!$A$1:$AA$27,COLUMN(),TRUE)</f>
        <v>1305</v>
      </c>
    </row>
    <row r="55">
      <c r="A55" s="34">
        <v>43983.0</v>
      </c>
      <c r="B55" s="48">
        <f>ROUND(IF(MONTH($A55)=12,2.333,1)*VLOOKUP($A55,'Página7'!$A$1:$AA$27,COLUMN(),TRUE),2)</f>
        <v>39293.32</v>
      </c>
      <c r="C55" s="48">
        <f t="shared" si="1"/>
        <v>34630.33</v>
      </c>
      <c r="D55" s="48">
        <f>ROUND(IF(MONTH($A55)=12,2.333,1)*VLOOKUP($A55,'Página7'!$A$1:$AA$27,COLUMN(),TRUE),2)</f>
        <v>30936.91</v>
      </c>
      <c r="E55" s="48">
        <f t="shared" si="2"/>
        <v>30003.62</v>
      </c>
      <c r="F55" s="48">
        <f t="shared" si="3"/>
        <v>17896.05</v>
      </c>
      <c r="G55" s="48">
        <f>ROUND(IF(MONTH($A55)=12,2.333,1)*VLOOKUP($A55,'Página7'!$A$1:$AA$27,COLUMN(),TRUE),2)</f>
        <v>27369.67</v>
      </c>
      <c r="H55" s="48">
        <f>ROUND(IF(MONTH($A55)=12,2.333,1)*VLOOKUP($A55,'Página7'!$A$1:$AA$27,COLUMN(),TRUE),2)</f>
        <v>12514.58</v>
      </c>
      <c r="I55" s="48">
        <f>ROUND(IF(MONTH($A55)=12,2.333,1)*VLOOKUP($A55,'Página7'!$A$1:$AA$27,COLUMN(),TRUE),2)</f>
        <v>24598.99</v>
      </c>
      <c r="J55" s="48">
        <f t="shared" si="4"/>
        <v>22869.9</v>
      </c>
      <c r="K55" s="48">
        <f>ROUND(IF(MONTH($A55)=12,2.333,1)*VLOOKUP($A55,'Página7'!$A$1:$AA$27,COLUMN(),TRUE),2)</f>
        <v>19691.69</v>
      </c>
      <c r="L55" s="48">
        <f t="shared" si="5"/>
        <v>19515.54</v>
      </c>
      <c r="M55" s="48">
        <f t="shared" si="6"/>
        <v>12256.6</v>
      </c>
      <c r="N55" s="48">
        <f>ROUND(IF(MONTH($A55)=12,2.333,1)*VLOOKUP($A55,'Página7'!$A$1:$AA$27,COLUMN(),TRUE),2)</f>
        <v>17596.83</v>
      </c>
      <c r="O55" s="48">
        <f>ROUND(IF(MONTH($A55)=12,2.333,1)*VLOOKUP($A55,'Página7'!$A$1:$AA$27,COLUMN(),TRUE),2)</f>
        <v>8873.18</v>
      </c>
      <c r="P55" s="48">
        <f>VLOOKUP($A55,'Página7'!$A$1:$AA$27,COLUMN(),TRUE)</f>
        <v>27303.7</v>
      </c>
      <c r="Q55" s="48">
        <f>VLOOKUP($A55,'Página7'!$A$1:$AA$27,COLUMN(),TRUE)</f>
        <v>8140.7</v>
      </c>
      <c r="R55" s="48">
        <f>VLOOKUP($A55,'Página7'!$A$1:$AA$27,COLUMN(),TRUE)</f>
        <v>27303.62</v>
      </c>
      <c r="S55" s="48">
        <f>VLOOKUP($A55,'Página7'!$A$1:$AA$27,COLUMN(),TRUE)</f>
        <v>3000</v>
      </c>
      <c r="T55" s="48">
        <f>VLOOKUP($A55,'Página7'!$A$1:$AA$27,COLUMN(),TRUE)</f>
        <v>16276.05</v>
      </c>
      <c r="U55" s="48">
        <f>VLOOKUP($A55,'Página7'!$A$1:$AA$27,COLUMN(),TRUE)</f>
        <v>1800</v>
      </c>
      <c r="V55" s="48">
        <f>VLOOKUP($A55,'Página7'!$A$1:$AA$27,COLUMN(),TRUE)</f>
        <v>17558.0915</v>
      </c>
      <c r="W55" s="48">
        <f>VLOOKUP($A55,'Página7'!$A$1:$AA$27,COLUMN(),TRUE)</f>
        <v>5902.0075</v>
      </c>
      <c r="X55" s="48">
        <f>VLOOKUP($A55,'Página7'!$A$1:$AA$27,COLUMN(),TRUE)</f>
        <v>17558.04075</v>
      </c>
      <c r="Y55" s="48">
        <f>VLOOKUP($A55,'Página7'!$A$1:$AA$27,COLUMN(),TRUE)</f>
        <v>2175</v>
      </c>
      <c r="Z55" s="48">
        <f>VLOOKUP($A55,'Página7'!$A$1:$AA$27,COLUMN(),TRUE)</f>
        <v>11082.1015</v>
      </c>
      <c r="AA55" s="48">
        <f>VLOOKUP($A55,'Página7'!$A$1:$AA$27,COLUMN(),TRUE)</f>
        <v>1305</v>
      </c>
    </row>
    <row r="56">
      <c r="A56" s="34">
        <v>44013.0</v>
      </c>
      <c r="B56" s="48">
        <f>ROUND(IF(MONTH($A56)=12,2.333,1)*VLOOKUP($A56,'Página7'!$A$1:$AA$27,COLUMN(),TRUE),2)</f>
        <v>39293.32</v>
      </c>
      <c r="C56" s="48">
        <f t="shared" si="1"/>
        <v>34630.33</v>
      </c>
      <c r="D56" s="48">
        <f>ROUND(IF(MONTH($A56)=12,2.333,1)*VLOOKUP($A56,'Página7'!$A$1:$AA$27,COLUMN(),TRUE),2)</f>
        <v>30936.91</v>
      </c>
      <c r="E56" s="48">
        <f t="shared" si="2"/>
        <v>30003.62</v>
      </c>
      <c r="F56" s="48">
        <f t="shared" si="3"/>
        <v>17896.05</v>
      </c>
      <c r="G56" s="48">
        <f>ROUND(IF(MONTH($A56)=12,2.333,1)*VLOOKUP($A56,'Página7'!$A$1:$AA$27,COLUMN(),TRUE),2)</f>
        <v>27369.67</v>
      </c>
      <c r="H56" s="48">
        <f>ROUND(IF(MONTH($A56)=12,2.333,1)*VLOOKUP($A56,'Página7'!$A$1:$AA$27,COLUMN(),TRUE),2)</f>
        <v>12514.58</v>
      </c>
      <c r="I56" s="48">
        <f>ROUND(IF(MONTH($A56)=12,2.333,1)*VLOOKUP($A56,'Página7'!$A$1:$AA$27,COLUMN(),TRUE),2)</f>
        <v>24598.99</v>
      </c>
      <c r="J56" s="48">
        <f t="shared" si="4"/>
        <v>22869.9</v>
      </c>
      <c r="K56" s="48">
        <f>ROUND(IF(MONTH($A56)=12,2.333,1)*VLOOKUP($A56,'Página7'!$A$1:$AA$27,COLUMN(),TRUE),2)</f>
        <v>19691.69</v>
      </c>
      <c r="L56" s="48">
        <f t="shared" si="5"/>
        <v>19515.54</v>
      </c>
      <c r="M56" s="48">
        <f t="shared" si="6"/>
        <v>12256.6</v>
      </c>
      <c r="N56" s="48">
        <f>ROUND(IF(MONTH($A56)=12,2.333,1)*VLOOKUP($A56,'Página7'!$A$1:$AA$27,COLUMN(),TRUE),2)</f>
        <v>17596.83</v>
      </c>
      <c r="O56" s="48">
        <f>ROUND(IF(MONTH($A56)=12,2.333,1)*VLOOKUP($A56,'Página7'!$A$1:$AA$27,COLUMN(),TRUE),2)</f>
        <v>8873.18</v>
      </c>
      <c r="P56" s="48">
        <f>VLOOKUP($A56,'Página7'!$A$1:$AA$27,COLUMN(),TRUE)</f>
        <v>27303.7</v>
      </c>
      <c r="Q56" s="48">
        <f>VLOOKUP($A56,'Página7'!$A$1:$AA$27,COLUMN(),TRUE)</f>
        <v>8140.7</v>
      </c>
      <c r="R56" s="48">
        <f>VLOOKUP($A56,'Página7'!$A$1:$AA$27,COLUMN(),TRUE)</f>
        <v>27303.62</v>
      </c>
      <c r="S56" s="48">
        <f>VLOOKUP($A56,'Página7'!$A$1:$AA$27,COLUMN(),TRUE)</f>
        <v>3000</v>
      </c>
      <c r="T56" s="48">
        <f>VLOOKUP($A56,'Página7'!$A$1:$AA$27,COLUMN(),TRUE)</f>
        <v>16276.05</v>
      </c>
      <c r="U56" s="48">
        <f>VLOOKUP($A56,'Página7'!$A$1:$AA$27,COLUMN(),TRUE)</f>
        <v>1800</v>
      </c>
      <c r="V56" s="48">
        <f>VLOOKUP($A56,'Página7'!$A$1:$AA$27,COLUMN(),TRUE)</f>
        <v>17558.0915</v>
      </c>
      <c r="W56" s="48">
        <f>VLOOKUP($A56,'Página7'!$A$1:$AA$27,COLUMN(),TRUE)</f>
        <v>5902.0075</v>
      </c>
      <c r="X56" s="48">
        <f>VLOOKUP($A56,'Página7'!$A$1:$AA$27,COLUMN(),TRUE)</f>
        <v>17558.04075</v>
      </c>
      <c r="Y56" s="48">
        <f>VLOOKUP($A56,'Página7'!$A$1:$AA$27,COLUMN(),TRUE)</f>
        <v>2175</v>
      </c>
      <c r="Z56" s="48">
        <f>VLOOKUP($A56,'Página7'!$A$1:$AA$27,COLUMN(),TRUE)</f>
        <v>11082.1015</v>
      </c>
      <c r="AA56" s="48">
        <f>VLOOKUP($A56,'Página7'!$A$1:$AA$27,COLUMN(),TRUE)</f>
        <v>1305</v>
      </c>
    </row>
    <row r="57">
      <c r="A57" s="34">
        <v>44044.0</v>
      </c>
      <c r="B57" s="48">
        <f>ROUND(IF(MONTH($A57)=12,2.333,1)*VLOOKUP($A57,'Página7'!$A$1:$AA$27,COLUMN(),TRUE),2)</f>
        <v>39293.32</v>
      </c>
      <c r="C57" s="48">
        <f t="shared" si="1"/>
        <v>34630.33</v>
      </c>
      <c r="D57" s="48">
        <f>ROUND(IF(MONTH($A57)=12,2.333,1)*VLOOKUP($A57,'Página7'!$A$1:$AA$27,COLUMN(),TRUE),2)</f>
        <v>30936.91</v>
      </c>
      <c r="E57" s="48">
        <f t="shared" si="2"/>
        <v>30003.62</v>
      </c>
      <c r="F57" s="48">
        <f t="shared" si="3"/>
        <v>17896.05</v>
      </c>
      <c r="G57" s="48">
        <f>ROUND(IF(MONTH($A57)=12,2.333,1)*VLOOKUP($A57,'Página7'!$A$1:$AA$27,COLUMN(),TRUE),2)</f>
        <v>27369.67</v>
      </c>
      <c r="H57" s="48">
        <f>ROUND(IF(MONTH($A57)=12,2.333,1)*VLOOKUP($A57,'Página7'!$A$1:$AA$27,COLUMN(),TRUE),2)</f>
        <v>12514.58</v>
      </c>
      <c r="I57" s="48">
        <f>ROUND(IF(MONTH($A57)=12,2.333,1)*VLOOKUP($A57,'Página7'!$A$1:$AA$27,COLUMN(),TRUE),2)</f>
        <v>24598.99</v>
      </c>
      <c r="J57" s="48">
        <f t="shared" si="4"/>
        <v>22869.9</v>
      </c>
      <c r="K57" s="48">
        <f>ROUND(IF(MONTH($A57)=12,2.333,1)*VLOOKUP($A57,'Página7'!$A$1:$AA$27,COLUMN(),TRUE),2)</f>
        <v>19691.69</v>
      </c>
      <c r="L57" s="48">
        <f t="shared" si="5"/>
        <v>19515.54</v>
      </c>
      <c r="M57" s="48">
        <f t="shared" si="6"/>
        <v>12256.6</v>
      </c>
      <c r="N57" s="48">
        <f>ROUND(IF(MONTH($A57)=12,2.333,1)*VLOOKUP($A57,'Página7'!$A$1:$AA$27,COLUMN(),TRUE),2)</f>
        <v>17596.83</v>
      </c>
      <c r="O57" s="48">
        <f>ROUND(IF(MONTH($A57)=12,2.333,1)*VLOOKUP($A57,'Página7'!$A$1:$AA$27,COLUMN(),TRUE),2)</f>
        <v>8873.18</v>
      </c>
      <c r="P57" s="48">
        <f>VLOOKUP($A57,'Página7'!$A$1:$AA$27,COLUMN(),TRUE)</f>
        <v>27303.7</v>
      </c>
      <c r="Q57" s="48">
        <f>VLOOKUP($A57,'Página7'!$A$1:$AA$27,COLUMN(),TRUE)</f>
        <v>8140.7</v>
      </c>
      <c r="R57" s="48">
        <f>VLOOKUP($A57,'Página7'!$A$1:$AA$27,COLUMN(),TRUE)</f>
        <v>27303.62</v>
      </c>
      <c r="S57" s="48">
        <f>VLOOKUP($A57,'Página7'!$A$1:$AA$27,COLUMN(),TRUE)</f>
        <v>3000</v>
      </c>
      <c r="T57" s="48">
        <f>VLOOKUP($A57,'Página7'!$A$1:$AA$27,COLUMN(),TRUE)</f>
        <v>16276.05</v>
      </c>
      <c r="U57" s="48">
        <f>VLOOKUP($A57,'Página7'!$A$1:$AA$27,COLUMN(),TRUE)</f>
        <v>1800</v>
      </c>
      <c r="V57" s="48">
        <f>VLOOKUP($A57,'Página7'!$A$1:$AA$27,COLUMN(),TRUE)</f>
        <v>17558.0915</v>
      </c>
      <c r="W57" s="48">
        <f>VLOOKUP($A57,'Página7'!$A$1:$AA$27,COLUMN(),TRUE)</f>
        <v>5902.0075</v>
      </c>
      <c r="X57" s="48">
        <f>VLOOKUP($A57,'Página7'!$A$1:$AA$27,COLUMN(),TRUE)</f>
        <v>17558.04075</v>
      </c>
      <c r="Y57" s="48">
        <f>VLOOKUP($A57,'Página7'!$A$1:$AA$27,COLUMN(),TRUE)</f>
        <v>2175</v>
      </c>
      <c r="Z57" s="48">
        <f>VLOOKUP($A57,'Página7'!$A$1:$AA$27,COLUMN(),TRUE)</f>
        <v>11082.1015</v>
      </c>
      <c r="AA57" s="48">
        <f>VLOOKUP($A57,'Página7'!$A$1:$AA$27,COLUMN(),TRUE)</f>
        <v>1305</v>
      </c>
    </row>
    <row r="58">
      <c r="A58" s="34">
        <v>44075.0</v>
      </c>
      <c r="B58" s="48">
        <f>ROUND(IF(MONTH($A58)=12,2.333,1)*VLOOKUP($A58,'Página7'!$A$1:$AA$27,COLUMN(),TRUE),2)</f>
        <v>39293.32</v>
      </c>
      <c r="C58" s="48">
        <f t="shared" si="1"/>
        <v>34630.33</v>
      </c>
      <c r="D58" s="48">
        <f>ROUND(IF(MONTH($A58)=12,2.333,1)*VLOOKUP($A58,'Página7'!$A$1:$AA$27,COLUMN(),TRUE),2)</f>
        <v>30936.91</v>
      </c>
      <c r="E58" s="48">
        <f t="shared" si="2"/>
        <v>30003.62</v>
      </c>
      <c r="F58" s="48">
        <f t="shared" si="3"/>
        <v>17896.05</v>
      </c>
      <c r="G58" s="48">
        <f>ROUND(IF(MONTH($A58)=12,2.333,1)*VLOOKUP($A58,'Página7'!$A$1:$AA$27,COLUMN(),TRUE),2)</f>
        <v>27369.67</v>
      </c>
      <c r="H58" s="48">
        <f>ROUND(IF(MONTH($A58)=12,2.333,1)*VLOOKUP($A58,'Página7'!$A$1:$AA$27,COLUMN(),TRUE),2)</f>
        <v>12514.58</v>
      </c>
      <c r="I58" s="48">
        <f>ROUND(IF(MONTH($A58)=12,2.333,1)*VLOOKUP($A58,'Página7'!$A$1:$AA$27,COLUMN(),TRUE),2)</f>
        <v>24598.99</v>
      </c>
      <c r="J58" s="48">
        <f t="shared" si="4"/>
        <v>22869.9</v>
      </c>
      <c r="K58" s="48">
        <f>ROUND(IF(MONTH($A58)=12,2.333,1)*VLOOKUP($A58,'Página7'!$A$1:$AA$27,COLUMN(),TRUE),2)</f>
        <v>19691.69</v>
      </c>
      <c r="L58" s="48">
        <f t="shared" si="5"/>
        <v>19515.54</v>
      </c>
      <c r="M58" s="48">
        <f t="shared" si="6"/>
        <v>12256.6</v>
      </c>
      <c r="N58" s="48">
        <f>ROUND(IF(MONTH($A58)=12,2.333,1)*VLOOKUP($A58,'Página7'!$A$1:$AA$27,COLUMN(),TRUE),2)</f>
        <v>17596.83</v>
      </c>
      <c r="O58" s="48">
        <f>ROUND(IF(MONTH($A58)=12,2.333,1)*VLOOKUP($A58,'Página7'!$A$1:$AA$27,COLUMN(),TRUE),2)</f>
        <v>8873.18</v>
      </c>
      <c r="P58" s="48">
        <f>VLOOKUP($A58,'Página7'!$A$1:$AA$27,COLUMN(),TRUE)</f>
        <v>27303.7</v>
      </c>
      <c r="Q58" s="48">
        <f>VLOOKUP($A58,'Página7'!$A$1:$AA$27,COLUMN(),TRUE)</f>
        <v>8140.7</v>
      </c>
      <c r="R58" s="48">
        <f>VLOOKUP($A58,'Página7'!$A$1:$AA$27,COLUMN(),TRUE)</f>
        <v>27303.62</v>
      </c>
      <c r="S58" s="48">
        <f>VLOOKUP($A58,'Página7'!$A$1:$AA$27,COLUMN(),TRUE)</f>
        <v>3000</v>
      </c>
      <c r="T58" s="48">
        <f>VLOOKUP($A58,'Página7'!$A$1:$AA$27,COLUMN(),TRUE)</f>
        <v>16276.05</v>
      </c>
      <c r="U58" s="48">
        <f>VLOOKUP($A58,'Página7'!$A$1:$AA$27,COLUMN(),TRUE)</f>
        <v>1800</v>
      </c>
      <c r="V58" s="48">
        <f>VLOOKUP($A58,'Página7'!$A$1:$AA$27,COLUMN(),TRUE)</f>
        <v>17558.0915</v>
      </c>
      <c r="W58" s="48">
        <f>VLOOKUP($A58,'Página7'!$A$1:$AA$27,COLUMN(),TRUE)</f>
        <v>5902.0075</v>
      </c>
      <c r="X58" s="48">
        <f>VLOOKUP($A58,'Página7'!$A$1:$AA$27,COLUMN(),TRUE)</f>
        <v>17558.04075</v>
      </c>
      <c r="Y58" s="48">
        <f>VLOOKUP($A58,'Página7'!$A$1:$AA$27,COLUMN(),TRUE)</f>
        <v>2175</v>
      </c>
      <c r="Z58" s="48">
        <f>VLOOKUP($A58,'Página7'!$A$1:$AA$27,COLUMN(),TRUE)</f>
        <v>11082.1015</v>
      </c>
      <c r="AA58" s="48">
        <f>VLOOKUP($A58,'Página7'!$A$1:$AA$27,COLUMN(),TRUE)</f>
        <v>1305</v>
      </c>
    </row>
    <row r="59">
      <c r="A59" s="34">
        <v>44105.0</v>
      </c>
      <c r="B59" s="48">
        <f>ROUND(IF(MONTH($A59)=12,2.333,1)*VLOOKUP($A59,'Página7'!$A$1:$AA$27,COLUMN(),TRUE),2)</f>
        <v>39293.32</v>
      </c>
      <c r="C59" s="48">
        <f t="shared" si="1"/>
        <v>34630.33</v>
      </c>
      <c r="D59" s="48">
        <f>ROUND(IF(MONTH($A59)=12,2.333,1)*VLOOKUP($A59,'Página7'!$A$1:$AA$27,COLUMN(),TRUE),2)</f>
        <v>30936.91</v>
      </c>
      <c r="E59" s="48">
        <f t="shared" si="2"/>
        <v>30003.62</v>
      </c>
      <c r="F59" s="48">
        <f t="shared" si="3"/>
        <v>17896.05</v>
      </c>
      <c r="G59" s="48">
        <f>ROUND(IF(MONTH($A59)=12,2.333,1)*VLOOKUP($A59,'Página7'!$A$1:$AA$27,COLUMN(),TRUE),2)</f>
        <v>27369.67</v>
      </c>
      <c r="H59" s="48">
        <f>ROUND(IF(MONTH($A59)=12,2.333,1)*VLOOKUP($A59,'Página7'!$A$1:$AA$27,COLUMN(),TRUE),2)</f>
        <v>12514.58</v>
      </c>
      <c r="I59" s="48">
        <f>ROUND(IF(MONTH($A59)=12,2.333,1)*VLOOKUP($A59,'Página7'!$A$1:$AA$27,COLUMN(),TRUE),2)</f>
        <v>24598.99</v>
      </c>
      <c r="J59" s="48">
        <f t="shared" si="4"/>
        <v>22869.9</v>
      </c>
      <c r="K59" s="48">
        <f>ROUND(IF(MONTH($A59)=12,2.333,1)*VLOOKUP($A59,'Página7'!$A$1:$AA$27,COLUMN(),TRUE),2)</f>
        <v>19691.69</v>
      </c>
      <c r="L59" s="48">
        <f t="shared" si="5"/>
        <v>19515.54</v>
      </c>
      <c r="M59" s="48">
        <f t="shared" si="6"/>
        <v>12256.6</v>
      </c>
      <c r="N59" s="48">
        <f>ROUND(IF(MONTH($A59)=12,2.333,1)*VLOOKUP($A59,'Página7'!$A$1:$AA$27,COLUMN(),TRUE),2)</f>
        <v>17596.83</v>
      </c>
      <c r="O59" s="48">
        <f>ROUND(IF(MONTH($A59)=12,2.333,1)*VLOOKUP($A59,'Página7'!$A$1:$AA$27,COLUMN(),TRUE),2)</f>
        <v>8873.18</v>
      </c>
      <c r="P59" s="48">
        <f>VLOOKUP($A59,'Página7'!$A$1:$AA$27,COLUMN(),TRUE)</f>
        <v>27303.7</v>
      </c>
      <c r="Q59" s="48">
        <f>VLOOKUP($A59,'Página7'!$A$1:$AA$27,COLUMN(),TRUE)</f>
        <v>8140.7</v>
      </c>
      <c r="R59" s="48">
        <f>VLOOKUP($A59,'Página7'!$A$1:$AA$27,COLUMN(),TRUE)</f>
        <v>27303.62</v>
      </c>
      <c r="S59" s="48">
        <f>VLOOKUP($A59,'Página7'!$A$1:$AA$27,COLUMN(),TRUE)</f>
        <v>3000</v>
      </c>
      <c r="T59" s="48">
        <f>VLOOKUP($A59,'Página7'!$A$1:$AA$27,COLUMN(),TRUE)</f>
        <v>16276.05</v>
      </c>
      <c r="U59" s="48">
        <f>VLOOKUP($A59,'Página7'!$A$1:$AA$27,COLUMN(),TRUE)</f>
        <v>1800</v>
      </c>
      <c r="V59" s="48">
        <f>VLOOKUP($A59,'Página7'!$A$1:$AA$27,COLUMN(),TRUE)</f>
        <v>17558.0915</v>
      </c>
      <c r="W59" s="48">
        <f>VLOOKUP($A59,'Página7'!$A$1:$AA$27,COLUMN(),TRUE)</f>
        <v>5902.0075</v>
      </c>
      <c r="X59" s="48">
        <f>VLOOKUP($A59,'Página7'!$A$1:$AA$27,COLUMN(),TRUE)</f>
        <v>17558.04075</v>
      </c>
      <c r="Y59" s="48">
        <f>VLOOKUP($A59,'Página7'!$A$1:$AA$27,COLUMN(),TRUE)</f>
        <v>2175</v>
      </c>
      <c r="Z59" s="48">
        <f>VLOOKUP($A59,'Página7'!$A$1:$AA$27,COLUMN(),TRUE)</f>
        <v>11082.1015</v>
      </c>
      <c r="AA59" s="48">
        <f>VLOOKUP($A59,'Página7'!$A$1:$AA$27,COLUMN(),TRUE)</f>
        <v>1305</v>
      </c>
    </row>
    <row r="60">
      <c r="A60" s="34">
        <v>44136.0</v>
      </c>
      <c r="B60" s="48">
        <f>ROUND(IF(MONTH($A60)=12,2.333,1)*VLOOKUP($A60,'Página7'!$A$1:$AA$27,COLUMN(),TRUE),2)</f>
        <v>39293.32</v>
      </c>
      <c r="C60" s="48">
        <f t="shared" si="1"/>
        <v>34630.33</v>
      </c>
      <c r="D60" s="48">
        <f>ROUND(IF(MONTH($A60)=12,2.333,1)*VLOOKUP($A60,'Página7'!$A$1:$AA$27,COLUMN(),TRUE),2)</f>
        <v>30936.91</v>
      </c>
      <c r="E60" s="48">
        <f t="shared" si="2"/>
        <v>30003.62</v>
      </c>
      <c r="F60" s="48">
        <f t="shared" si="3"/>
        <v>17896.05</v>
      </c>
      <c r="G60" s="48">
        <f>ROUND(IF(MONTH($A60)=12,2.333,1)*VLOOKUP($A60,'Página7'!$A$1:$AA$27,COLUMN(),TRUE),2)</f>
        <v>27369.67</v>
      </c>
      <c r="H60" s="48">
        <f>ROUND(IF(MONTH($A60)=12,2.333,1)*VLOOKUP($A60,'Página7'!$A$1:$AA$27,COLUMN(),TRUE),2)</f>
        <v>12514.58</v>
      </c>
      <c r="I60" s="48">
        <f>ROUND(IF(MONTH($A60)=12,2.333,1)*VLOOKUP($A60,'Página7'!$A$1:$AA$27,COLUMN(),TRUE),2)</f>
        <v>24598.99</v>
      </c>
      <c r="J60" s="48">
        <f t="shared" si="4"/>
        <v>22869.9</v>
      </c>
      <c r="K60" s="48">
        <f>ROUND(IF(MONTH($A60)=12,2.333,1)*VLOOKUP($A60,'Página7'!$A$1:$AA$27,COLUMN(),TRUE),2)</f>
        <v>19691.69</v>
      </c>
      <c r="L60" s="48">
        <f t="shared" si="5"/>
        <v>19515.54</v>
      </c>
      <c r="M60" s="48">
        <f t="shared" si="6"/>
        <v>12256.6</v>
      </c>
      <c r="N60" s="48">
        <f>ROUND(IF(MONTH($A60)=12,2.333,1)*VLOOKUP($A60,'Página7'!$A$1:$AA$27,COLUMN(),TRUE),2)</f>
        <v>17596.83</v>
      </c>
      <c r="O60" s="48">
        <f>ROUND(IF(MONTH($A60)=12,2.333,1)*VLOOKUP($A60,'Página7'!$A$1:$AA$27,COLUMN(),TRUE),2)</f>
        <v>8873.18</v>
      </c>
      <c r="P60" s="48">
        <f>VLOOKUP($A60,'Página7'!$A$1:$AA$27,COLUMN(),TRUE)</f>
        <v>27303.7</v>
      </c>
      <c r="Q60" s="48">
        <f>VLOOKUP($A60,'Página7'!$A$1:$AA$27,COLUMN(),TRUE)</f>
        <v>8140.7</v>
      </c>
      <c r="R60" s="48">
        <f>VLOOKUP($A60,'Página7'!$A$1:$AA$27,COLUMN(),TRUE)</f>
        <v>27303.62</v>
      </c>
      <c r="S60" s="48">
        <f>VLOOKUP($A60,'Página7'!$A$1:$AA$27,COLUMN(),TRUE)</f>
        <v>3000</v>
      </c>
      <c r="T60" s="48">
        <f>VLOOKUP($A60,'Página7'!$A$1:$AA$27,COLUMN(),TRUE)</f>
        <v>16276.05</v>
      </c>
      <c r="U60" s="48">
        <f>VLOOKUP($A60,'Página7'!$A$1:$AA$27,COLUMN(),TRUE)</f>
        <v>1800</v>
      </c>
      <c r="V60" s="48">
        <f>VLOOKUP($A60,'Página7'!$A$1:$AA$27,COLUMN(),TRUE)</f>
        <v>17558.0915</v>
      </c>
      <c r="W60" s="48">
        <f>VLOOKUP($A60,'Página7'!$A$1:$AA$27,COLUMN(),TRUE)</f>
        <v>5902.0075</v>
      </c>
      <c r="X60" s="48">
        <f>VLOOKUP($A60,'Página7'!$A$1:$AA$27,COLUMN(),TRUE)</f>
        <v>17558.04075</v>
      </c>
      <c r="Y60" s="48">
        <f>VLOOKUP($A60,'Página7'!$A$1:$AA$27,COLUMN(),TRUE)</f>
        <v>2175</v>
      </c>
      <c r="Z60" s="48">
        <f>VLOOKUP($A60,'Página7'!$A$1:$AA$27,COLUMN(),TRUE)</f>
        <v>11082.1015</v>
      </c>
      <c r="AA60" s="48">
        <f>VLOOKUP($A60,'Página7'!$A$1:$AA$27,COLUMN(),TRUE)</f>
        <v>1305</v>
      </c>
    </row>
    <row r="61">
      <c r="A61" s="34">
        <v>44166.0</v>
      </c>
      <c r="B61" s="48">
        <f>ROUND(IF(MONTH($A61)=12,2.333,1)*VLOOKUP($A61,'Página7'!$A$1:$AA$27,COLUMN(),TRUE),2)</f>
        <v>91671.32</v>
      </c>
      <c r="C61" s="48">
        <f t="shared" si="1"/>
        <v>80792.56</v>
      </c>
      <c r="D61" s="48">
        <f>ROUND(IF(MONTH($A61)=12,2.333,1)*VLOOKUP($A61,'Página7'!$A$1:$AA$27,COLUMN(),TRUE),2)</f>
        <v>72175.81</v>
      </c>
      <c r="E61" s="48">
        <f t="shared" si="2"/>
        <v>69998.45</v>
      </c>
      <c r="F61" s="48">
        <f t="shared" si="3"/>
        <v>41751.48</v>
      </c>
      <c r="G61" s="48">
        <f>ROUND(IF(MONTH($A61)=12,2.333,1)*VLOOKUP($A61,'Página7'!$A$1:$AA$27,COLUMN(),TRUE),2)</f>
        <v>63853.44</v>
      </c>
      <c r="H61" s="48">
        <f>ROUND(IF(MONTH($A61)=12,2.333,1)*VLOOKUP($A61,'Página7'!$A$1:$AA$27,COLUMN(),TRUE),2)</f>
        <v>29196.52</v>
      </c>
      <c r="I61" s="48">
        <f>ROUND(IF(MONTH($A61)=12,2.333,1)*VLOOKUP($A61,'Página7'!$A$1:$AA$27,COLUMN(),TRUE),2)</f>
        <v>57389.45</v>
      </c>
      <c r="J61" s="48">
        <f t="shared" si="4"/>
        <v>53355.48</v>
      </c>
      <c r="K61" s="48">
        <f>ROUND(IF(MONTH($A61)=12,2.333,1)*VLOOKUP($A61,'Página7'!$A$1:$AA$27,COLUMN(),TRUE),2)</f>
        <v>45940.72</v>
      </c>
      <c r="L61" s="48">
        <f t="shared" si="5"/>
        <v>45529.76</v>
      </c>
      <c r="M61" s="48">
        <f t="shared" si="6"/>
        <v>28594.65</v>
      </c>
      <c r="N61" s="48">
        <f>ROUND(IF(MONTH($A61)=12,2.333,1)*VLOOKUP($A61,'Página7'!$A$1:$AA$27,COLUMN(),TRUE),2)</f>
        <v>41053.4</v>
      </c>
      <c r="O61" s="48">
        <f>ROUND(IF(MONTH($A61)=12,2.333,1)*VLOOKUP($A61,'Página7'!$A$1:$AA$27,COLUMN(),TRUE),2)</f>
        <v>20701.13</v>
      </c>
      <c r="P61" s="48">
        <f>VLOOKUP($A61,'Página7'!$A$1:$AA$27,COLUMN(),TRUE)</f>
        <v>27303.7</v>
      </c>
      <c r="Q61" s="48">
        <f>VLOOKUP($A61,'Página7'!$A$1:$AA$27,COLUMN(),TRUE)</f>
        <v>8140.7</v>
      </c>
      <c r="R61" s="48">
        <f>VLOOKUP($A61,'Página7'!$A$1:$AA$27,COLUMN(),TRUE)</f>
        <v>27303.62</v>
      </c>
      <c r="S61" s="48">
        <f>VLOOKUP($A61,'Página7'!$A$1:$AA$27,COLUMN(),TRUE)</f>
        <v>3000</v>
      </c>
      <c r="T61" s="48">
        <f>VLOOKUP($A61,'Página7'!$A$1:$AA$27,COLUMN(),TRUE)</f>
        <v>16276.05</v>
      </c>
      <c r="U61" s="48">
        <f>VLOOKUP($A61,'Página7'!$A$1:$AA$27,COLUMN(),TRUE)</f>
        <v>1800</v>
      </c>
      <c r="V61" s="48">
        <f>VLOOKUP($A61,'Página7'!$A$1:$AA$27,COLUMN(),TRUE)</f>
        <v>17558.0915</v>
      </c>
      <c r="W61" s="48">
        <f>VLOOKUP($A61,'Página7'!$A$1:$AA$27,COLUMN(),TRUE)</f>
        <v>5902.0075</v>
      </c>
      <c r="X61" s="48">
        <f>VLOOKUP($A61,'Página7'!$A$1:$AA$27,COLUMN(),TRUE)</f>
        <v>17558.04075</v>
      </c>
      <c r="Y61" s="48">
        <f>VLOOKUP($A61,'Página7'!$A$1:$AA$27,COLUMN(),TRUE)</f>
        <v>2175</v>
      </c>
      <c r="Z61" s="48">
        <f>VLOOKUP($A61,'Página7'!$A$1:$AA$27,COLUMN(),TRUE)</f>
        <v>11082.1015</v>
      </c>
      <c r="AA61" s="48">
        <f>VLOOKUP($A61,'Página7'!$A$1:$AA$27,COLUMN(),TRUE)</f>
        <v>1305</v>
      </c>
    </row>
    <row r="62">
      <c r="A62" s="34">
        <v>44197.0</v>
      </c>
      <c r="B62" s="48">
        <f>ROUND(IF(MONTH($A62)=12,2.333,1)*VLOOKUP($A62,'Página7'!$A$1:$AA$27,COLUMN(),TRUE),2)</f>
        <v>39293.32</v>
      </c>
      <c r="C62" s="48">
        <f t="shared" si="1"/>
        <v>35938.48</v>
      </c>
      <c r="D62" s="48">
        <f>ROUND(IF(MONTH($A62)=12,2.333,1)*VLOOKUP($A62,'Página7'!$A$1:$AA$27,COLUMN(),TRUE),2)</f>
        <v>30936.91</v>
      </c>
      <c r="E62" s="48">
        <f t="shared" si="2"/>
        <v>30003.62</v>
      </c>
      <c r="F62" s="48">
        <f t="shared" si="3"/>
        <v>17896.05</v>
      </c>
      <c r="G62" s="48">
        <f>ROUND(IF(MONTH($A62)=12,2.333,1)*VLOOKUP($A62,'Página7'!$A$1:$AA$27,COLUMN(),TRUE),2)</f>
        <v>27369.67</v>
      </c>
      <c r="H62" s="48">
        <f>ROUND(IF(MONTH($A62)=12,2.333,1)*VLOOKUP($A62,'Página7'!$A$1:$AA$27,COLUMN(),TRUE),2)</f>
        <v>12514.58</v>
      </c>
      <c r="I62" s="48">
        <f>ROUND(IF(MONTH($A62)=12,2.333,1)*VLOOKUP($A62,'Página7'!$A$1:$AA$27,COLUMN(),TRUE),2)</f>
        <v>24634.64</v>
      </c>
      <c r="J62" s="48">
        <f t="shared" si="4"/>
        <v>23853.95</v>
      </c>
      <c r="K62" s="48">
        <f>ROUND(IF(MONTH($A62)=12,2.333,1)*VLOOKUP($A62,'Página7'!$A$1:$AA$27,COLUMN(),TRUE),2)</f>
        <v>19727.33</v>
      </c>
      <c r="L62" s="48">
        <f t="shared" si="5"/>
        <v>19551.18</v>
      </c>
      <c r="M62" s="48">
        <f t="shared" si="6"/>
        <v>12292.24</v>
      </c>
      <c r="N62" s="48">
        <f>ROUND(IF(MONTH($A62)=12,2.333,1)*VLOOKUP($A62,'Página7'!$A$1:$AA$27,COLUMN(),TRUE),2)</f>
        <v>17632.47</v>
      </c>
      <c r="O62" s="48">
        <f>ROUND(IF(MONTH($A62)=12,2.333,1)*VLOOKUP($A62,'Página7'!$A$1:$AA$27,COLUMN(),TRUE),2)</f>
        <v>8908.82</v>
      </c>
      <c r="P62" s="48">
        <f>VLOOKUP($A62,'Página7'!$A$1:$AA$27,COLUMN(),TRUE)</f>
        <v>27303.7</v>
      </c>
      <c r="Q62" s="48">
        <f>VLOOKUP($A62,'Página7'!$A$1:$AA$27,COLUMN(),TRUE)</f>
        <v>9594.2</v>
      </c>
      <c r="R62" s="48">
        <f>VLOOKUP($A62,'Página7'!$A$1:$AA$27,COLUMN(),TRUE)</f>
        <v>27303.62</v>
      </c>
      <c r="S62" s="48">
        <f>VLOOKUP($A62,'Página7'!$A$1:$AA$27,COLUMN(),TRUE)</f>
        <v>3000</v>
      </c>
      <c r="T62" s="48">
        <f>VLOOKUP($A62,'Página7'!$A$1:$AA$27,COLUMN(),TRUE)</f>
        <v>16276.05</v>
      </c>
      <c r="U62" s="48">
        <f>VLOOKUP($A62,'Página7'!$A$1:$AA$27,COLUMN(),TRUE)</f>
        <v>1800</v>
      </c>
      <c r="V62" s="48">
        <f>VLOOKUP($A62,'Página7'!$A$1:$AA$27,COLUMN(),TRUE)</f>
        <v>17593.72525</v>
      </c>
      <c r="W62" s="48">
        <f>VLOOKUP($A62,'Página7'!$A$1:$AA$27,COLUMN(),TRUE)</f>
        <v>6955.795</v>
      </c>
      <c r="X62" s="48">
        <f>VLOOKUP($A62,'Página7'!$A$1:$AA$27,COLUMN(),TRUE)</f>
        <v>17593.68175</v>
      </c>
      <c r="Y62" s="48">
        <f>VLOOKUP($A62,'Página7'!$A$1:$AA$27,COLUMN(),TRUE)</f>
        <v>2175</v>
      </c>
      <c r="Z62" s="48">
        <f>VLOOKUP($A62,'Página7'!$A$1:$AA$27,COLUMN(),TRUE)</f>
        <v>11117.7425</v>
      </c>
      <c r="AA62" s="48">
        <f>VLOOKUP($A62,'Página7'!$A$1:$AA$27,COLUMN(),TRUE)</f>
        <v>1305</v>
      </c>
    </row>
    <row r="63">
      <c r="A63" s="34">
        <v>44228.0</v>
      </c>
      <c r="B63" s="48">
        <f>ROUND(IF(MONTH($A63)=12,2.333,1)*VLOOKUP($A63,'Página7'!$A$1:$AA$27,COLUMN(),TRUE),2)</f>
        <v>39293.32</v>
      </c>
      <c r="C63" s="48">
        <f t="shared" si="1"/>
        <v>35938.48</v>
      </c>
      <c r="D63" s="48">
        <f>ROUND(IF(MONTH($A63)=12,2.333,1)*VLOOKUP($A63,'Página7'!$A$1:$AA$27,COLUMN(),TRUE),2)</f>
        <v>30936.91</v>
      </c>
      <c r="E63" s="48">
        <f t="shared" si="2"/>
        <v>30003.62</v>
      </c>
      <c r="F63" s="48">
        <f t="shared" si="3"/>
        <v>17896.05</v>
      </c>
      <c r="G63" s="48">
        <f>ROUND(IF(MONTH($A63)=12,2.333,1)*VLOOKUP($A63,'Página7'!$A$1:$AA$27,COLUMN(),TRUE),2)</f>
        <v>27369.67</v>
      </c>
      <c r="H63" s="48">
        <f>ROUND(IF(MONTH($A63)=12,2.333,1)*VLOOKUP($A63,'Página7'!$A$1:$AA$27,COLUMN(),TRUE),2)</f>
        <v>12514.58</v>
      </c>
      <c r="I63" s="48">
        <f>ROUND(IF(MONTH($A63)=12,2.333,1)*VLOOKUP($A63,'Página7'!$A$1:$AA$27,COLUMN(),TRUE),2)</f>
        <v>24634.64</v>
      </c>
      <c r="J63" s="48">
        <f t="shared" si="4"/>
        <v>23853.95</v>
      </c>
      <c r="K63" s="48">
        <f>ROUND(IF(MONTH($A63)=12,2.333,1)*VLOOKUP($A63,'Página7'!$A$1:$AA$27,COLUMN(),TRUE),2)</f>
        <v>19727.33</v>
      </c>
      <c r="L63" s="48">
        <f t="shared" si="5"/>
        <v>19551.18</v>
      </c>
      <c r="M63" s="48">
        <f t="shared" si="6"/>
        <v>12292.24</v>
      </c>
      <c r="N63" s="48">
        <f>ROUND(IF(MONTH($A63)=12,2.333,1)*VLOOKUP($A63,'Página7'!$A$1:$AA$27,COLUMN(),TRUE),2)</f>
        <v>17632.47</v>
      </c>
      <c r="O63" s="48">
        <f>ROUND(IF(MONTH($A63)=12,2.333,1)*VLOOKUP($A63,'Página7'!$A$1:$AA$27,COLUMN(),TRUE),2)</f>
        <v>8908.82</v>
      </c>
      <c r="P63" s="48">
        <f>VLOOKUP($A63,'Página7'!$A$1:$AA$27,COLUMN(),TRUE)</f>
        <v>27303.7</v>
      </c>
      <c r="Q63" s="48">
        <f>VLOOKUP($A63,'Página7'!$A$1:$AA$27,COLUMN(),TRUE)</f>
        <v>9594.2</v>
      </c>
      <c r="R63" s="48">
        <f>VLOOKUP($A63,'Página7'!$A$1:$AA$27,COLUMN(),TRUE)</f>
        <v>27303.62</v>
      </c>
      <c r="S63" s="48">
        <f>VLOOKUP($A63,'Página7'!$A$1:$AA$27,COLUMN(),TRUE)</f>
        <v>3000</v>
      </c>
      <c r="T63" s="48">
        <f>VLOOKUP($A63,'Página7'!$A$1:$AA$27,COLUMN(),TRUE)</f>
        <v>16276.05</v>
      </c>
      <c r="U63" s="48">
        <f>VLOOKUP($A63,'Página7'!$A$1:$AA$27,COLUMN(),TRUE)</f>
        <v>1800</v>
      </c>
      <c r="V63" s="48">
        <f>VLOOKUP($A63,'Página7'!$A$1:$AA$27,COLUMN(),TRUE)</f>
        <v>17593.72525</v>
      </c>
      <c r="W63" s="48">
        <f>VLOOKUP($A63,'Página7'!$A$1:$AA$27,COLUMN(),TRUE)</f>
        <v>6955.795</v>
      </c>
      <c r="X63" s="48">
        <f>VLOOKUP($A63,'Página7'!$A$1:$AA$27,COLUMN(),TRUE)</f>
        <v>17593.68175</v>
      </c>
      <c r="Y63" s="48">
        <f>VLOOKUP($A63,'Página7'!$A$1:$AA$27,COLUMN(),TRUE)</f>
        <v>2175</v>
      </c>
      <c r="Z63" s="48">
        <f>VLOOKUP($A63,'Página7'!$A$1:$AA$27,COLUMN(),TRUE)</f>
        <v>11117.7425</v>
      </c>
      <c r="AA63" s="48">
        <f>VLOOKUP($A63,'Página7'!$A$1:$AA$27,COLUMN(),TRUE)</f>
        <v>1305</v>
      </c>
    </row>
    <row r="64">
      <c r="A64" s="34">
        <v>44256.0</v>
      </c>
      <c r="B64" s="48">
        <f>ROUND(IF(MONTH($A64)=12,2.333,1)*VLOOKUP($A64,'Página7'!$A$1:$AA$27,COLUMN(),TRUE),2)</f>
        <v>39293.32</v>
      </c>
      <c r="C64" s="48">
        <f t="shared" si="1"/>
        <v>35938.48</v>
      </c>
      <c r="D64" s="48">
        <f>ROUND(IF(MONTH($A64)=12,2.333,1)*VLOOKUP($A64,'Página7'!$A$1:$AA$27,COLUMN(),TRUE),2)</f>
        <v>30936.91</v>
      </c>
      <c r="E64" s="48">
        <f t="shared" si="2"/>
        <v>30003.62</v>
      </c>
      <c r="F64" s="48">
        <f t="shared" si="3"/>
        <v>17896.05</v>
      </c>
      <c r="G64" s="48">
        <f>ROUND(IF(MONTH($A64)=12,2.333,1)*VLOOKUP($A64,'Página7'!$A$1:$AA$27,COLUMN(),TRUE),2)</f>
        <v>27369.67</v>
      </c>
      <c r="H64" s="48">
        <f>ROUND(IF(MONTH($A64)=12,2.333,1)*VLOOKUP($A64,'Página7'!$A$1:$AA$27,COLUMN(),TRUE),2)</f>
        <v>12514.58</v>
      </c>
      <c r="I64" s="48">
        <f>ROUND(IF(MONTH($A64)=12,2.333,1)*VLOOKUP($A64,'Página7'!$A$1:$AA$27,COLUMN(),TRUE),2)</f>
        <v>24634.64</v>
      </c>
      <c r="J64" s="48">
        <f t="shared" si="4"/>
        <v>23853.95</v>
      </c>
      <c r="K64" s="48">
        <f>ROUND(IF(MONTH($A64)=12,2.333,1)*VLOOKUP($A64,'Página7'!$A$1:$AA$27,COLUMN(),TRUE),2)</f>
        <v>19727.33</v>
      </c>
      <c r="L64" s="48">
        <f t="shared" si="5"/>
        <v>19551.18</v>
      </c>
      <c r="M64" s="48">
        <f t="shared" si="6"/>
        <v>12292.24</v>
      </c>
      <c r="N64" s="48">
        <f>ROUND(IF(MONTH($A64)=12,2.333,1)*VLOOKUP($A64,'Página7'!$A$1:$AA$27,COLUMN(),TRUE),2)</f>
        <v>17632.47</v>
      </c>
      <c r="O64" s="48">
        <f>ROUND(IF(MONTH($A64)=12,2.333,1)*VLOOKUP($A64,'Página7'!$A$1:$AA$27,COLUMN(),TRUE),2)</f>
        <v>8908.82</v>
      </c>
      <c r="P64" s="48">
        <f>VLOOKUP($A64,'Página7'!$A$1:$AA$27,COLUMN(),TRUE)</f>
        <v>27303.7</v>
      </c>
      <c r="Q64" s="48">
        <f>VLOOKUP($A64,'Página7'!$A$1:$AA$27,COLUMN(),TRUE)</f>
        <v>9594.2</v>
      </c>
      <c r="R64" s="48">
        <f>VLOOKUP($A64,'Página7'!$A$1:$AA$27,COLUMN(),TRUE)</f>
        <v>27303.62</v>
      </c>
      <c r="S64" s="48">
        <f>VLOOKUP($A64,'Página7'!$A$1:$AA$27,COLUMN(),TRUE)</f>
        <v>3000</v>
      </c>
      <c r="T64" s="48">
        <f>VLOOKUP($A64,'Página7'!$A$1:$AA$27,COLUMN(),TRUE)</f>
        <v>16276.05</v>
      </c>
      <c r="U64" s="48">
        <f>VLOOKUP($A64,'Página7'!$A$1:$AA$27,COLUMN(),TRUE)</f>
        <v>1800</v>
      </c>
      <c r="V64" s="48">
        <f>VLOOKUP($A64,'Página7'!$A$1:$AA$27,COLUMN(),TRUE)</f>
        <v>17593.72525</v>
      </c>
      <c r="W64" s="48">
        <f>VLOOKUP($A64,'Página7'!$A$1:$AA$27,COLUMN(),TRUE)</f>
        <v>6955.795</v>
      </c>
      <c r="X64" s="48">
        <f>VLOOKUP($A64,'Página7'!$A$1:$AA$27,COLUMN(),TRUE)</f>
        <v>17593.68175</v>
      </c>
      <c r="Y64" s="48">
        <f>VLOOKUP($A64,'Página7'!$A$1:$AA$27,COLUMN(),TRUE)</f>
        <v>2175</v>
      </c>
      <c r="Z64" s="48">
        <f>VLOOKUP($A64,'Página7'!$A$1:$AA$27,COLUMN(),TRUE)</f>
        <v>11117.7425</v>
      </c>
      <c r="AA64" s="48">
        <f>VLOOKUP($A64,'Página7'!$A$1:$AA$27,COLUMN(),TRUE)</f>
        <v>1305</v>
      </c>
    </row>
    <row r="65">
      <c r="A65" s="34">
        <v>44287.0</v>
      </c>
      <c r="B65" s="48">
        <f>ROUND(IF(MONTH($A65)=12,2.333,1)*VLOOKUP($A65,'Página7'!$A$1:$AA$27,COLUMN(),TRUE),2)</f>
        <v>39293.32</v>
      </c>
      <c r="C65" s="48">
        <f t="shared" si="1"/>
        <v>35938.48</v>
      </c>
      <c r="D65" s="48">
        <f>ROUND(IF(MONTH($A65)=12,2.333,1)*VLOOKUP($A65,'Página7'!$A$1:$AA$27,COLUMN(),TRUE),2)</f>
        <v>30936.91</v>
      </c>
      <c r="E65" s="48">
        <f t="shared" si="2"/>
        <v>30003.62</v>
      </c>
      <c r="F65" s="48">
        <f t="shared" si="3"/>
        <v>17896.05</v>
      </c>
      <c r="G65" s="48">
        <f>ROUND(IF(MONTH($A65)=12,2.333,1)*VLOOKUP($A65,'Página7'!$A$1:$AA$27,COLUMN(),TRUE),2)</f>
        <v>27369.67</v>
      </c>
      <c r="H65" s="48">
        <f>ROUND(IF(MONTH($A65)=12,2.333,1)*VLOOKUP($A65,'Página7'!$A$1:$AA$27,COLUMN(),TRUE),2)</f>
        <v>12514.58</v>
      </c>
      <c r="I65" s="48">
        <f>ROUND(IF(MONTH($A65)=12,2.333,1)*VLOOKUP($A65,'Página7'!$A$1:$AA$27,COLUMN(),TRUE),2)</f>
        <v>24634.64</v>
      </c>
      <c r="J65" s="48">
        <f t="shared" si="4"/>
        <v>23853.95</v>
      </c>
      <c r="K65" s="48">
        <f>ROUND(IF(MONTH($A65)=12,2.333,1)*VLOOKUP($A65,'Página7'!$A$1:$AA$27,COLUMN(),TRUE),2)</f>
        <v>19727.33</v>
      </c>
      <c r="L65" s="48">
        <f t="shared" si="5"/>
        <v>19551.18</v>
      </c>
      <c r="M65" s="48">
        <f t="shared" si="6"/>
        <v>12292.24</v>
      </c>
      <c r="N65" s="48">
        <f>ROUND(IF(MONTH($A65)=12,2.333,1)*VLOOKUP($A65,'Página7'!$A$1:$AA$27,COLUMN(),TRUE),2)</f>
        <v>17632.47</v>
      </c>
      <c r="O65" s="48">
        <f>ROUND(IF(MONTH($A65)=12,2.333,1)*VLOOKUP($A65,'Página7'!$A$1:$AA$27,COLUMN(),TRUE),2)</f>
        <v>8908.82</v>
      </c>
      <c r="P65" s="48">
        <f>VLOOKUP($A65,'Página7'!$A$1:$AA$27,COLUMN(),TRUE)</f>
        <v>27303.7</v>
      </c>
      <c r="Q65" s="48">
        <f>VLOOKUP($A65,'Página7'!$A$1:$AA$27,COLUMN(),TRUE)</f>
        <v>9594.2</v>
      </c>
      <c r="R65" s="48">
        <f>VLOOKUP($A65,'Página7'!$A$1:$AA$27,COLUMN(),TRUE)</f>
        <v>27303.62</v>
      </c>
      <c r="S65" s="48">
        <f>VLOOKUP($A65,'Página7'!$A$1:$AA$27,COLUMN(),TRUE)</f>
        <v>3000</v>
      </c>
      <c r="T65" s="48">
        <f>VLOOKUP($A65,'Página7'!$A$1:$AA$27,COLUMN(),TRUE)</f>
        <v>16276.05</v>
      </c>
      <c r="U65" s="48">
        <f>VLOOKUP($A65,'Página7'!$A$1:$AA$27,COLUMN(),TRUE)</f>
        <v>1800</v>
      </c>
      <c r="V65" s="48">
        <f>VLOOKUP($A65,'Página7'!$A$1:$AA$27,COLUMN(),TRUE)</f>
        <v>17593.72525</v>
      </c>
      <c r="W65" s="48">
        <f>VLOOKUP($A65,'Página7'!$A$1:$AA$27,COLUMN(),TRUE)</f>
        <v>6955.795</v>
      </c>
      <c r="X65" s="48">
        <f>VLOOKUP($A65,'Página7'!$A$1:$AA$27,COLUMN(),TRUE)</f>
        <v>17593.68175</v>
      </c>
      <c r="Y65" s="48">
        <f>VLOOKUP($A65,'Página7'!$A$1:$AA$27,COLUMN(),TRUE)</f>
        <v>2175</v>
      </c>
      <c r="Z65" s="48">
        <f>VLOOKUP($A65,'Página7'!$A$1:$AA$27,COLUMN(),TRUE)</f>
        <v>11117.7425</v>
      </c>
      <c r="AA65" s="48">
        <f>VLOOKUP($A65,'Página7'!$A$1:$AA$27,COLUMN(),TRUE)</f>
        <v>1305</v>
      </c>
    </row>
    <row r="66">
      <c r="A66" s="34">
        <v>44317.0</v>
      </c>
      <c r="B66" s="48">
        <f>ROUND(IF(MONTH($A66)=12,2.333,1)*VLOOKUP($A66,'Página7'!$A$1:$AA$27,COLUMN(),TRUE),2)</f>
        <v>39293.32</v>
      </c>
      <c r="C66" s="48">
        <f t="shared" si="1"/>
        <v>35938.48</v>
      </c>
      <c r="D66" s="48">
        <f>ROUND(IF(MONTH($A66)=12,2.333,1)*VLOOKUP($A66,'Página7'!$A$1:$AA$27,COLUMN(),TRUE),2)</f>
        <v>30936.91</v>
      </c>
      <c r="E66" s="48">
        <f t="shared" si="2"/>
        <v>30003.62</v>
      </c>
      <c r="F66" s="48">
        <f t="shared" si="3"/>
        <v>17896.05</v>
      </c>
      <c r="G66" s="48">
        <f>ROUND(IF(MONTH($A66)=12,2.333,1)*VLOOKUP($A66,'Página7'!$A$1:$AA$27,COLUMN(),TRUE),2)</f>
        <v>27369.67</v>
      </c>
      <c r="H66" s="48">
        <f>ROUND(IF(MONTH($A66)=12,2.333,1)*VLOOKUP($A66,'Página7'!$A$1:$AA$27,COLUMN(),TRUE),2)</f>
        <v>12514.58</v>
      </c>
      <c r="I66" s="48">
        <f>ROUND(IF(MONTH($A66)=12,2.333,1)*VLOOKUP($A66,'Página7'!$A$1:$AA$27,COLUMN(),TRUE),2)</f>
        <v>24634.64</v>
      </c>
      <c r="J66" s="48">
        <f t="shared" si="4"/>
        <v>23853.95</v>
      </c>
      <c r="K66" s="48">
        <f>ROUND(IF(MONTH($A66)=12,2.333,1)*VLOOKUP($A66,'Página7'!$A$1:$AA$27,COLUMN(),TRUE),2)</f>
        <v>19727.33</v>
      </c>
      <c r="L66" s="48">
        <f t="shared" si="5"/>
        <v>19551.18</v>
      </c>
      <c r="M66" s="48">
        <f t="shared" si="6"/>
        <v>12292.24</v>
      </c>
      <c r="N66" s="48">
        <f>ROUND(IF(MONTH($A66)=12,2.333,1)*VLOOKUP($A66,'Página7'!$A$1:$AA$27,COLUMN(),TRUE),2)</f>
        <v>17632.47</v>
      </c>
      <c r="O66" s="48">
        <f>ROUND(IF(MONTH($A66)=12,2.333,1)*VLOOKUP($A66,'Página7'!$A$1:$AA$27,COLUMN(),TRUE),2)</f>
        <v>8908.82</v>
      </c>
      <c r="P66" s="48">
        <f>VLOOKUP($A66,'Página7'!$A$1:$AA$27,COLUMN(),TRUE)</f>
        <v>27303.7</v>
      </c>
      <c r="Q66" s="48">
        <f>VLOOKUP($A66,'Página7'!$A$1:$AA$27,COLUMN(),TRUE)</f>
        <v>9594.2</v>
      </c>
      <c r="R66" s="48">
        <f>VLOOKUP($A66,'Página7'!$A$1:$AA$27,COLUMN(),TRUE)</f>
        <v>27303.62</v>
      </c>
      <c r="S66" s="48">
        <f>VLOOKUP($A66,'Página7'!$A$1:$AA$27,COLUMN(),TRUE)</f>
        <v>3000</v>
      </c>
      <c r="T66" s="48">
        <f>VLOOKUP($A66,'Página7'!$A$1:$AA$27,COLUMN(),TRUE)</f>
        <v>16276.05</v>
      </c>
      <c r="U66" s="48">
        <f>VLOOKUP($A66,'Página7'!$A$1:$AA$27,COLUMN(),TRUE)</f>
        <v>1800</v>
      </c>
      <c r="V66" s="48">
        <f>VLOOKUP($A66,'Página7'!$A$1:$AA$27,COLUMN(),TRUE)</f>
        <v>17593.72525</v>
      </c>
      <c r="W66" s="48">
        <f>VLOOKUP($A66,'Página7'!$A$1:$AA$27,COLUMN(),TRUE)</f>
        <v>6955.795</v>
      </c>
      <c r="X66" s="48">
        <f>VLOOKUP($A66,'Página7'!$A$1:$AA$27,COLUMN(),TRUE)</f>
        <v>17593.68175</v>
      </c>
      <c r="Y66" s="48">
        <f>VLOOKUP($A66,'Página7'!$A$1:$AA$27,COLUMN(),TRUE)</f>
        <v>2175</v>
      </c>
      <c r="Z66" s="48">
        <f>VLOOKUP($A66,'Página7'!$A$1:$AA$27,COLUMN(),TRUE)</f>
        <v>11117.7425</v>
      </c>
      <c r="AA66" s="48">
        <f>VLOOKUP($A66,'Página7'!$A$1:$AA$27,COLUMN(),TRUE)</f>
        <v>1305</v>
      </c>
    </row>
    <row r="67">
      <c r="A67" s="34">
        <v>44348.0</v>
      </c>
      <c r="B67" s="48">
        <f>ROUND(IF(MONTH($A67)=12,2.333,1)*VLOOKUP($A67,'Página7'!$A$1:$AA$27,COLUMN(),TRUE),2)</f>
        <v>39293.32</v>
      </c>
      <c r="C67" s="48">
        <f t="shared" si="1"/>
        <v>35938.48</v>
      </c>
      <c r="D67" s="48">
        <f>ROUND(IF(MONTH($A67)=12,2.333,1)*VLOOKUP($A67,'Página7'!$A$1:$AA$27,COLUMN(),TRUE),2)</f>
        <v>30936.91</v>
      </c>
      <c r="E67" s="48">
        <f t="shared" si="2"/>
        <v>30003.62</v>
      </c>
      <c r="F67" s="48">
        <f t="shared" si="3"/>
        <v>17896.05</v>
      </c>
      <c r="G67" s="48">
        <f>ROUND(IF(MONTH($A67)=12,2.333,1)*VLOOKUP($A67,'Página7'!$A$1:$AA$27,COLUMN(),TRUE),2)</f>
        <v>27369.67</v>
      </c>
      <c r="H67" s="48">
        <f>ROUND(IF(MONTH($A67)=12,2.333,1)*VLOOKUP($A67,'Página7'!$A$1:$AA$27,COLUMN(),TRUE),2)</f>
        <v>12514.58</v>
      </c>
      <c r="I67" s="48">
        <f>ROUND(IF(MONTH($A67)=12,2.333,1)*VLOOKUP($A67,'Página7'!$A$1:$AA$27,COLUMN(),TRUE),2)</f>
        <v>24634.64</v>
      </c>
      <c r="J67" s="48">
        <f t="shared" si="4"/>
        <v>23853.95</v>
      </c>
      <c r="K67" s="48">
        <f>ROUND(IF(MONTH($A67)=12,2.333,1)*VLOOKUP($A67,'Página7'!$A$1:$AA$27,COLUMN(),TRUE),2)</f>
        <v>19727.33</v>
      </c>
      <c r="L67" s="48">
        <f t="shared" si="5"/>
        <v>19551.18</v>
      </c>
      <c r="M67" s="48">
        <f t="shared" si="6"/>
        <v>12292.24</v>
      </c>
      <c r="N67" s="48">
        <f>ROUND(IF(MONTH($A67)=12,2.333,1)*VLOOKUP($A67,'Página7'!$A$1:$AA$27,COLUMN(),TRUE),2)</f>
        <v>17632.47</v>
      </c>
      <c r="O67" s="48">
        <f>ROUND(IF(MONTH($A67)=12,2.333,1)*VLOOKUP($A67,'Página7'!$A$1:$AA$27,COLUMN(),TRUE),2)</f>
        <v>8908.82</v>
      </c>
      <c r="P67" s="48">
        <f>VLOOKUP($A67,'Página7'!$A$1:$AA$27,COLUMN(),TRUE)</f>
        <v>27303.7</v>
      </c>
      <c r="Q67" s="48">
        <f>VLOOKUP($A67,'Página7'!$A$1:$AA$27,COLUMN(),TRUE)</f>
        <v>9594.2</v>
      </c>
      <c r="R67" s="48">
        <f>VLOOKUP($A67,'Página7'!$A$1:$AA$27,COLUMN(),TRUE)</f>
        <v>27303.62</v>
      </c>
      <c r="S67" s="48">
        <f>VLOOKUP($A67,'Página7'!$A$1:$AA$27,COLUMN(),TRUE)</f>
        <v>3000</v>
      </c>
      <c r="T67" s="48">
        <f>VLOOKUP($A67,'Página7'!$A$1:$AA$27,COLUMN(),TRUE)</f>
        <v>16276.05</v>
      </c>
      <c r="U67" s="48">
        <f>VLOOKUP($A67,'Página7'!$A$1:$AA$27,COLUMN(),TRUE)</f>
        <v>1800</v>
      </c>
      <c r="V67" s="48">
        <f>VLOOKUP($A67,'Página7'!$A$1:$AA$27,COLUMN(),TRUE)</f>
        <v>17593.72525</v>
      </c>
      <c r="W67" s="48">
        <f>VLOOKUP($A67,'Página7'!$A$1:$AA$27,COLUMN(),TRUE)</f>
        <v>6955.795</v>
      </c>
      <c r="X67" s="48">
        <f>VLOOKUP($A67,'Página7'!$A$1:$AA$27,COLUMN(),TRUE)</f>
        <v>17593.68175</v>
      </c>
      <c r="Y67" s="48">
        <f>VLOOKUP($A67,'Página7'!$A$1:$AA$27,COLUMN(),TRUE)</f>
        <v>2175</v>
      </c>
      <c r="Z67" s="48">
        <f>VLOOKUP($A67,'Página7'!$A$1:$AA$27,COLUMN(),TRUE)</f>
        <v>11117.7425</v>
      </c>
      <c r="AA67" s="48">
        <f>VLOOKUP($A67,'Página7'!$A$1:$AA$27,COLUMN(),TRUE)</f>
        <v>1305</v>
      </c>
    </row>
    <row r="68">
      <c r="A68" s="34">
        <v>44378.0</v>
      </c>
      <c r="B68" s="48">
        <f>ROUND(IF(MONTH($A68)=12,2.333,1)*VLOOKUP($A68,'Página7'!$A$1:$AA$27,COLUMN(),TRUE),2)</f>
        <v>39293.32</v>
      </c>
      <c r="C68" s="48">
        <f t="shared" si="1"/>
        <v>35938.48</v>
      </c>
      <c r="D68" s="48">
        <f>ROUND(IF(MONTH($A68)=12,2.333,1)*VLOOKUP($A68,'Página7'!$A$1:$AA$27,COLUMN(),TRUE),2)</f>
        <v>30936.91</v>
      </c>
      <c r="E68" s="48">
        <f t="shared" si="2"/>
        <v>30003.62</v>
      </c>
      <c r="F68" s="48">
        <f t="shared" si="3"/>
        <v>17896.05</v>
      </c>
      <c r="G68" s="48">
        <f>ROUND(IF(MONTH($A68)=12,2.333,1)*VLOOKUP($A68,'Página7'!$A$1:$AA$27,COLUMN(),TRUE),2)</f>
        <v>27369.67</v>
      </c>
      <c r="H68" s="48">
        <f>ROUND(IF(MONTH($A68)=12,2.333,1)*VLOOKUP($A68,'Página7'!$A$1:$AA$27,COLUMN(),TRUE),2)</f>
        <v>12514.58</v>
      </c>
      <c r="I68" s="48">
        <f>ROUND(IF(MONTH($A68)=12,2.333,1)*VLOOKUP($A68,'Página7'!$A$1:$AA$27,COLUMN(),TRUE),2)</f>
        <v>24634.64</v>
      </c>
      <c r="J68" s="48">
        <f t="shared" si="4"/>
        <v>23853.95</v>
      </c>
      <c r="K68" s="48">
        <f>ROUND(IF(MONTH($A68)=12,2.333,1)*VLOOKUP($A68,'Página7'!$A$1:$AA$27,COLUMN(),TRUE),2)</f>
        <v>19727.33</v>
      </c>
      <c r="L68" s="48">
        <f t="shared" si="5"/>
        <v>19551.18</v>
      </c>
      <c r="M68" s="48">
        <f t="shared" si="6"/>
        <v>12292.24</v>
      </c>
      <c r="N68" s="48">
        <f>ROUND(IF(MONTH($A68)=12,2.333,1)*VLOOKUP($A68,'Página7'!$A$1:$AA$27,COLUMN(),TRUE),2)</f>
        <v>17632.47</v>
      </c>
      <c r="O68" s="48">
        <f>ROUND(IF(MONTH($A68)=12,2.333,1)*VLOOKUP($A68,'Página7'!$A$1:$AA$27,COLUMN(),TRUE),2)</f>
        <v>8908.82</v>
      </c>
      <c r="P68" s="48">
        <f>VLOOKUP($A68,'Página7'!$A$1:$AA$27,COLUMN(),TRUE)</f>
        <v>27303.7</v>
      </c>
      <c r="Q68" s="48">
        <f>VLOOKUP($A68,'Página7'!$A$1:$AA$27,COLUMN(),TRUE)</f>
        <v>9594.2</v>
      </c>
      <c r="R68" s="48">
        <f>VLOOKUP($A68,'Página7'!$A$1:$AA$27,COLUMN(),TRUE)</f>
        <v>27303.62</v>
      </c>
      <c r="S68" s="48">
        <f>VLOOKUP($A68,'Página7'!$A$1:$AA$27,COLUMN(),TRUE)</f>
        <v>3000</v>
      </c>
      <c r="T68" s="48">
        <f>VLOOKUP($A68,'Página7'!$A$1:$AA$27,COLUMN(),TRUE)</f>
        <v>16276.05</v>
      </c>
      <c r="U68" s="48">
        <f>VLOOKUP($A68,'Página7'!$A$1:$AA$27,COLUMN(),TRUE)</f>
        <v>1800</v>
      </c>
      <c r="V68" s="48">
        <f>VLOOKUP($A68,'Página7'!$A$1:$AA$27,COLUMN(),TRUE)</f>
        <v>17593.72525</v>
      </c>
      <c r="W68" s="48">
        <f>VLOOKUP($A68,'Página7'!$A$1:$AA$27,COLUMN(),TRUE)</f>
        <v>6955.795</v>
      </c>
      <c r="X68" s="48">
        <f>VLOOKUP($A68,'Página7'!$A$1:$AA$27,COLUMN(),TRUE)</f>
        <v>17593.68175</v>
      </c>
      <c r="Y68" s="48">
        <f>VLOOKUP($A68,'Página7'!$A$1:$AA$27,COLUMN(),TRUE)</f>
        <v>2175</v>
      </c>
      <c r="Z68" s="48">
        <f>VLOOKUP($A68,'Página7'!$A$1:$AA$27,COLUMN(),TRUE)</f>
        <v>11117.7425</v>
      </c>
      <c r="AA68" s="48">
        <f>VLOOKUP($A68,'Página7'!$A$1:$AA$27,COLUMN(),TRUE)</f>
        <v>1305</v>
      </c>
    </row>
    <row r="69">
      <c r="A69" s="34">
        <v>44409.0</v>
      </c>
      <c r="B69" s="48">
        <f>ROUND(IF(MONTH($A69)=12,2.333,1)*VLOOKUP($A69,'Página7'!$A$1:$AA$27,COLUMN(),TRUE),2)</f>
        <v>39293.32</v>
      </c>
      <c r="C69" s="48">
        <f t="shared" si="1"/>
        <v>35938.48</v>
      </c>
      <c r="D69" s="48">
        <f>ROUND(IF(MONTH($A69)=12,2.333,1)*VLOOKUP($A69,'Página7'!$A$1:$AA$27,COLUMN(),TRUE),2)</f>
        <v>30936.91</v>
      </c>
      <c r="E69" s="48">
        <f t="shared" si="2"/>
        <v>30003.62</v>
      </c>
      <c r="F69" s="48">
        <f t="shared" si="3"/>
        <v>17896.05</v>
      </c>
      <c r="G69" s="48">
        <f>ROUND(IF(MONTH($A69)=12,2.333,1)*VLOOKUP($A69,'Página7'!$A$1:$AA$27,COLUMN(),TRUE),2)</f>
        <v>27369.67</v>
      </c>
      <c r="H69" s="48">
        <f>ROUND(IF(MONTH($A69)=12,2.333,1)*VLOOKUP($A69,'Página7'!$A$1:$AA$27,COLUMN(),TRUE),2)</f>
        <v>12514.58</v>
      </c>
      <c r="I69" s="48">
        <f>ROUND(IF(MONTH($A69)=12,2.333,1)*VLOOKUP($A69,'Página7'!$A$1:$AA$27,COLUMN(),TRUE),2)</f>
        <v>24634.64</v>
      </c>
      <c r="J69" s="48">
        <f t="shared" si="4"/>
        <v>23853.95</v>
      </c>
      <c r="K69" s="48">
        <f>ROUND(IF(MONTH($A69)=12,2.333,1)*VLOOKUP($A69,'Página7'!$A$1:$AA$27,COLUMN(),TRUE),2)</f>
        <v>19727.33</v>
      </c>
      <c r="L69" s="48">
        <f t="shared" si="5"/>
        <v>19551.18</v>
      </c>
      <c r="M69" s="48">
        <f t="shared" si="6"/>
        <v>12292.24</v>
      </c>
      <c r="N69" s="48">
        <f>ROUND(IF(MONTH($A69)=12,2.333,1)*VLOOKUP($A69,'Página7'!$A$1:$AA$27,COLUMN(),TRUE),2)</f>
        <v>17632.47</v>
      </c>
      <c r="O69" s="48">
        <f>ROUND(IF(MONTH($A69)=12,2.333,1)*VLOOKUP($A69,'Página7'!$A$1:$AA$27,COLUMN(),TRUE),2)</f>
        <v>8908.82</v>
      </c>
      <c r="P69" s="48">
        <f>VLOOKUP($A69,'Página7'!$A$1:$AA$27,COLUMN(),TRUE)</f>
        <v>27303.7</v>
      </c>
      <c r="Q69" s="48">
        <f>VLOOKUP($A69,'Página7'!$A$1:$AA$27,COLUMN(),TRUE)</f>
        <v>9594.2</v>
      </c>
      <c r="R69" s="48">
        <f>VLOOKUP($A69,'Página7'!$A$1:$AA$27,COLUMN(),TRUE)</f>
        <v>27303.62</v>
      </c>
      <c r="S69" s="48">
        <f>VLOOKUP($A69,'Página7'!$A$1:$AA$27,COLUMN(),TRUE)</f>
        <v>3000</v>
      </c>
      <c r="T69" s="48">
        <f>VLOOKUP($A69,'Página7'!$A$1:$AA$27,COLUMN(),TRUE)</f>
        <v>16276.05</v>
      </c>
      <c r="U69" s="48">
        <f>VLOOKUP($A69,'Página7'!$A$1:$AA$27,COLUMN(),TRUE)</f>
        <v>1800</v>
      </c>
      <c r="V69" s="48">
        <f>VLOOKUP($A69,'Página7'!$A$1:$AA$27,COLUMN(),TRUE)</f>
        <v>17593.72525</v>
      </c>
      <c r="W69" s="48">
        <f>VLOOKUP($A69,'Página7'!$A$1:$AA$27,COLUMN(),TRUE)</f>
        <v>6955.795</v>
      </c>
      <c r="X69" s="48">
        <f>VLOOKUP($A69,'Página7'!$A$1:$AA$27,COLUMN(),TRUE)</f>
        <v>17593.68175</v>
      </c>
      <c r="Y69" s="48">
        <f>VLOOKUP($A69,'Página7'!$A$1:$AA$27,COLUMN(),TRUE)</f>
        <v>2175</v>
      </c>
      <c r="Z69" s="48">
        <f>VLOOKUP($A69,'Página7'!$A$1:$AA$27,COLUMN(),TRUE)</f>
        <v>11117.7425</v>
      </c>
      <c r="AA69" s="48">
        <f>VLOOKUP($A69,'Página7'!$A$1:$AA$27,COLUMN(),TRUE)</f>
        <v>1305</v>
      </c>
    </row>
    <row r="70">
      <c r="A70" s="34">
        <v>44440.0</v>
      </c>
      <c r="B70" s="48">
        <f>ROUND(IF(MONTH($A70)=12,2.333,1)*VLOOKUP($A70,'Página7'!$A$1:$AA$27,COLUMN(),TRUE),2)</f>
        <v>39293.32</v>
      </c>
      <c r="C70" s="48">
        <f t="shared" si="1"/>
        <v>35938.48</v>
      </c>
      <c r="D70" s="48">
        <f>ROUND(IF(MONTH($A70)=12,2.333,1)*VLOOKUP($A70,'Página7'!$A$1:$AA$27,COLUMN(),TRUE),2)</f>
        <v>30936.91</v>
      </c>
      <c r="E70" s="48">
        <f t="shared" si="2"/>
        <v>30003.62</v>
      </c>
      <c r="F70" s="48">
        <f t="shared" si="3"/>
        <v>17896.05</v>
      </c>
      <c r="G70" s="48">
        <f>ROUND(IF(MONTH($A70)=12,2.333,1)*VLOOKUP($A70,'Página7'!$A$1:$AA$27,COLUMN(),TRUE),2)</f>
        <v>27369.67</v>
      </c>
      <c r="H70" s="48">
        <f>ROUND(IF(MONTH($A70)=12,2.333,1)*VLOOKUP($A70,'Página7'!$A$1:$AA$27,COLUMN(),TRUE),2)</f>
        <v>12514.58</v>
      </c>
      <c r="I70" s="48">
        <f>ROUND(IF(MONTH($A70)=12,2.333,1)*VLOOKUP($A70,'Página7'!$A$1:$AA$27,COLUMN(),TRUE),2)</f>
        <v>24634.64</v>
      </c>
      <c r="J70" s="48">
        <f t="shared" si="4"/>
        <v>23853.95</v>
      </c>
      <c r="K70" s="48">
        <f>ROUND(IF(MONTH($A70)=12,2.333,1)*VLOOKUP($A70,'Página7'!$A$1:$AA$27,COLUMN(),TRUE),2)</f>
        <v>19727.33</v>
      </c>
      <c r="L70" s="48">
        <f t="shared" si="5"/>
        <v>19551.18</v>
      </c>
      <c r="M70" s="48">
        <f t="shared" si="6"/>
        <v>12292.24</v>
      </c>
      <c r="N70" s="48">
        <f>ROUND(IF(MONTH($A70)=12,2.333,1)*VLOOKUP($A70,'Página7'!$A$1:$AA$27,COLUMN(),TRUE),2)</f>
        <v>17632.47</v>
      </c>
      <c r="O70" s="48">
        <f>ROUND(IF(MONTH($A70)=12,2.333,1)*VLOOKUP($A70,'Página7'!$A$1:$AA$27,COLUMN(),TRUE),2)</f>
        <v>8908.82</v>
      </c>
      <c r="P70" s="48">
        <f>VLOOKUP($A70,'Página7'!$A$1:$AA$27,COLUMN(),TRUE)</f>
        <v>27303.7</v>
      </c>
      <c r="Q70" s="48">
        <f>VLOOKUP($A70,'Página7'!$A$1:$AA$27,COLUMN(),TRUE)</f>
        <v>9594.2</v>
      </c>
      <c r="R70" s="48">
        <f>VLOOKUP($A70,'Página7'!$A$1:$AA$27,COLUMN(),TRUE)</f>
        <v>27303.62</v>
      </c>
      <c r="S70" s="48">
        <f>VLOOKUP($A70,'Página7'!$A$1:$AA$27,COLUMN(),TRUE)</f>
        <v>3000</v>
      </c>
      <c r="T70" s="48">
        <f>VLOOKUP($A70,'Página7'!$A$1:$AA$27,COLUMN(),TRUE)</f>
        <v>16276.05</v>
      </c>
      <c r="U70" s="48">
        <f>VLOOKUP($A70,'Página7'!$A$1:$AA$27,COLUMN(),TRUE)</f>
        <v>1800</v>
      </c>
      <c r="V70" s="48">
        <f>VLOOKUP($A70,'Página7'!$A$1:$AA$27,COLUMN(),TRUE)</f>
        <v>17593.72525</v>
      </c>
      <c r="W70" s="48">
        <f>VLOOKUP($A70,'Página7'!$A$1:$AA$27,COLUMN(),TRUE)</f>
        <v>6955.795</v>
      </c>
      <c r="X70" s="48">
        <f>VLOOKUP($A70,'Página7'!$A$1:$AA$27,COLUMN(),TRUE)</f>
        <v>17593.68175</v>
      </c>
      <c r="Y70" s="48">
        <f>VLOOKUP($A70,'Página7'!$A$1:$AA$27,COLUMN(),TRUE)</f>
        <v>2175</v>
      </c>
      <c r="Z70" s="48">
        <f>VLOOKUP($A70,'Página7'!$A$1:$AA$27,COLUMN(),TRUE)</f>
        <v>11117.7425</v>
      </c>
      <c r="AA70" s="48">
        <f>VLOOKUP($A70,'Página7'!$A$1:$AA$27,COLUMN(),TRUE)</f>
        <v>1305</v>
      </c>
    </row>
    <row r="71">
      <c r="A71" s="34">
        <v>44470.0</v>
      </c>
      <c r="B71" s="48">
        <f>ROUND(IF(MONTH($A71)=12,2.333,1)*VLOOKUP($A71,'Página7'!$A$1:$AA$27,COLUMN(),TRUE),2)</f>
        <v>39293.32</v>
      </c>
      <c r="C71" s="48">
        <f t="shared" si="1"/>
        <v>35938.48</v>
      </c>
      <c r="D71" s="48">
        <f>ROUND(IF(MONTH($A71)=12,2.333,1)*VLOOKUP($A71,'Página7'!$A$1:$AA$27,COLUMN(),TRUE),2)</f>
        <v>30936.91</v>
      </c>
      <c r="E71" s="48">
        <f t="shared" si="2"/>
        <v>30003.62</v>
      </c>
      <c r="F71" s="48">
        <f t="shared" si="3"/>
        <v>17896.05</v>
      </c>
      <c r="G71" s="48">
        <f>ROUND(IF(MONTH($A71)=12,2.333,1)*VLOOKUP($A71,'Página7'!$A$1:$AA$27,COLUMN(),TRUE),2)</f>
        <v>27369.67</v>
      </c>
      <c r="H71" s="48">
        <f>ROUND(IF(MONTH($A71)=12,2.333,1)*VLOOKUP($A71,'Página7'!$A$1:$AA$27,COLUMN(),TRUE),2)</f>
        <v>12514.58</v>
      </c>
      <c r="I71" s="48">
        <f>ROUND(IF(MONTH($A71)=12,2.333,1)*VLOOKUP($A71,'Página7'!$A$1:$AA$27,COLUMN(),TRUE),2)</f>
        <v>24634.64</v>
      </c>
      <c r="J71" s="48">
        <f t="shared" si="4"/>
        <v>23853.95</v>
      </c>
      <c r="K71" s="48">
        <f>ROUND(IF(MONTH($A71)=12,2.333,1)*VLOOKUP($A71,'Página7'!$A$1:$AA$27,COLUMN(),TRUE),2)</f>
        <v>19727.33</v>
      </c>
      <c r="L71" s="48">
        <f t="shared" si="5"/>
        <v>19551.18</v>
      </c>
      <c r="M71" s="48">
        <f t="shared" si="6"/>
        <v>12292.24</v>
      </c>
      <c r="N71" s="48">
        <f>ROUND(IF(MONTH($A71)=12,2.333,1)*VLOOKUP($A71,'Página7'!$A$1:$AA$27,COLUMN(),TRUE),2)</f>
        <v>17632.47</v>
      </c>
      <c r="O71" s="48">
        <f>ROUND(IF(MONTH($A71)=12,2.333,1)*VLOOKUP($A71,'Página7'!$A$1:$AA$27,COLUMN(),TRUE),2)</f>
        <v>8908.82</v>
      </c>
      <c r="P71" s="48">
        <f>VLOOKUP($A71,'Página7'!$A$1:$AA$27,COLUMN(),TRUE)</f>
        <v>27303.7</v>
      </c>
      <c r="Q71" s="48">
        <f>VLOOKUP($A71,'Página7'!$A$1:$AA$27,COLUMN(),TRUE)</f>
        <v>9594.2</v>
      </c>
      <c r="R71" s="48">
        <f>VLOOKUP($A71,'Página7'!$A$1:$AA$27,COLUMN(),TRUE)</f>
        <v>27303.62</v>
      </c>
      <c r="S71" s="48">
        <f>VLOOKUP($A71,'Página7'!$A$1:$AA$27,COLUMN(),TRUE)</f>
        <v>3000</v>
      </c>
      <c r="T71" s="48">
        <f>VLOOKUP($A71,'Página7'!$A$1:$AA$27,COLUMN(),TRUE)</f>
        <v>16276.05</v>
      </c>
      <c r="U71" s="48">
        <f>VLOOKUP($A71,'Página7'!$A$1:$AA$27,COLUMN(),TRUE)</f>
        <v>1800</v>
      </c>
      <c r="V71" s="48">
        <f>VLOOKUP($A71,'Página7'!$A$1:$AA$27,COLUMN(),TRUE)</f>
        <v>17593.72525</v>
      </c>
      <c r="W71" s="48">
        <f>VLOOKUP($A71,'Página7'!$A$1:$AA$27,COLUMN(),TRUE)</f>
        <v>6955.795</v>
      </c>
      <c r="X71" s="48">
        <f>VLOOKUP($A71,'Página7'!$A$1:$AA$27,COLUMN(),TRUE)</f>
        <v>17593.68175</v>
      </c>
      <c r="Y71" s="48">
        <f>VLOOKUP($A71,'Página7'!$A$1:$AA$27,COLUMN(),TRUE)</f>
        <v>2175</v>
      </c>
      <c r="Z71" s="48">
        <f>VLOOKUP($A71,'Página7'!$A$1:$AA$27,COLUMN(),TRUE)</f>
        <v>11117.7425</v>
      </c>
      <c r="AA71" s="48">
        <f>VLOOKUP($A71,'Página7'!$A$1:$AA$27,COLUMN(),TRUE)</f>
        <v>1305</v>
      </c>
    </row>
    <row r="72">
      <c r="A72" s="34">
        <v>44501.0</v>
      </c>
      <c r="B72" s="48">
        <f>ROUND(IF(MONTH($A72)=12,2.333,1)*VLOOKUP($A72,'Página7'!$A$1:$AA$27,COLUMN(),TRUE),2)</f>
        <v>39293.32</v>
      </c>
      <c r="C72" s="48">
        <f t="shared" si="1"/>
        <v>35938.48</v>
      </c>
      <c r="D72" s="48">
        <f>ROUND(IF(MONTH($A72)=12,2.333,1)*VLOOKUP($A72,'Página7'!$A$1:$AA$27,COLUMN(),TRUE),2)</f>
        <v>30936.91</v>
      </c>
      <c r="E72" s="48">
        <f t="shared" si="2"/>
        <v>30003.62</v>
      </c>
      <c r="F72" s="48">
        <f t="shared" si="3"/>
        <v>17896.05</v>
      </c>
      <c r="G72" s="48">
        <f>ROUND(IF(MONTH($A72)=12,2.333,1)*VLOOKUP($A72,'Página7'!$A$1:$AA$27,COLUMN(),TRUE),2)</f>
        <v>27369.67</v>
      </c>
      <c r="H72" s="48">
        <f>ROUND(IF(MONTH($A72)=12,2.333,1)*VLOOKUP($A72,'Página7'!$A$1:$AA$27,COLUMN(),TRUE),2)</f>
        <v>12514.58</v>
      </c>
      <c r="I72" s="48">
        <f>ROUND(IF(MONTH($A72)=12,2.333,1)*VLOOKUP($A72,'Página7'!$A$1:$AA$27,COLUMN(),TRUE),2)</f>
        <v>24634.64</v>
      </c>
      <c r="J72" s="48">
        <f t="shared" si="4"/>
        <v>23853.95</v>
      </c>
      <c r="K72" s="48">
        <f>ROUND(IF(MONTH($A72)=12,2.333,1)*VLOOKUP($A72,'Página7'!$A$1:$AA$27,COLUMN(),TRUE),2)</f>
        <v>19727.33</v>
      </c>
      <c r="L72" s="48">
        <f t="shared" si="5"/>
        <v>19551.18</v>
      </c>
      <c r="M72" s="48">
        <f t="shared" si="6"/>
        <v>12292.24</v>
      </c>
      <c r="N72" s="48">
        <f>ROUND(IF(MONTH($A72)=12,2.333,1)*VLOOKUP($A72,'Página7'!$A$1:$AA$27,COLUMN(),TRUE),2)</f>
        <v>17632.47</v>
      </c>
      <c r="O72" s="48">
        <f>ROUND(IF(MONTH($A72)=12,2.333,1)*VLOOKUP($A72,'Página7'!$A$1:$AA$27,COLUMN(),TRUE),2)</f>
        <v>8908.82</v>
      </c>
      <c r="P72" s="48">
        <f>VLOOKUP($A72,'Página7'!$A$1:$AA$27,COLUMN(),TRUE)</f>
        <v>27303.7</v>
      </c>
      <c r="Q72" s="48">
        <f>VLOOKUP($A72,'Página7'!$A$1:$AA$27,COLUMN(),TRUE)</f>
        <v>9594.2</v>
      </c>
      <c r="R72" s="48">
        <f>VLOOKUP($A72,'Página7'!$A$1:$AA$27,COLUMN(),TRUE)</f>
        <v>27303.62</v>
      </c>
      <c r="S72" s="48">
        <f>VLOOKUP($A72,'Página7'!$A$1:$AA$27,COLUMN(),TRUE)</f>
        <v>3000</v>
      </c>
      <c r="T72" s="48">
        <f>VLOOKUP($A72,'Página7'!$A$1:$AA$27,COLUMN(),TRUE)</f>
        <v>16276.05</v>
      </c>
      <c r="U72" s="48">
        <f>VLOOKUP($A72,'Página7'!$A$1:$AA$27,COLUMN(),TRUE)</f>
        <v>1800</v>
      </c>
      <c r="V72" s="48">
        <f>VLOOKUP($A72,'Página7'!$A$1:$AA$27,COLUMN(),TRUE)</f>
        <v>17593.72525</v>
      </c>
      <c r="W72" s="48">
        <f>VLOOKUP($A72,'Página7'!$A$1:$AA$27,COLUMN(),TRUE)</f>
        <v>6955.795</v>
      </c>
      <c r="X72" s="48">
        <f>VLOOKUP($A72,'Página7'!$A$1:$AA$27,COLUMN(),TRUE)</f>
        <v>17593.68175</v>
      </c>
      <c r="Y72" s="48">
        <f>VLOOKUP($A72,'Página7'!$A$1:$AA$27,COLUMN(),TRUE)</f>
        <v>2175</v>
      </c>
      <c r="Z72" s="48">
        <f>VLOOKUP($A72,'Página7'!$A$1:$AA$27,COLUMN(),TRUE)</f>
        <v>11117.7425</v>
      </c>
      <c r="AA72" s="48">
        <f>VLOOKUP($A72,'Página7'!$A$1:$AA$27,COLUMN(),TRUE)</f>
        <v>1305</v>
      </c>
    </row>
    <row r="73">
      <c r="A73" s="34">
        <v>44531.0</v>
      </c>
      <c r="B73" s="48">
        <f>ROUND(IF(MONTH($A73)=12,2.333,1)*VLOOKUP($A73,'Página7'!$A$1:$AA$27,COLUMN(),TRUE),2)</f>
        <v>91671.32</v>
      </c>
      <c r="C73" s="48">
        <f t="shared" si="1"/>
        <v>83844.47</v>
      </c>
      <c r="D73" s="48">
        <f>ROUND(IF(MONTH($A73)=12,2.333,1)*VLOOKUP($A73,'Página7'!$A$1:$AA$27,COLUMN(),TRUE),2)</f>
        <v>72175.81</v>
      </c>
      <c r="E73" s="48">
        <f t="shared" si="2"/>
        <v>69998.45</v>
      </c>
      <c r="F73" s="48">
        <f t="shared" si="3"/>
        <v>41751.48</v>
      </c>
      <c r="G73" s="48">
        <f>ROUND(IF(MONTH($A73)=12,2.333,1)*VLOOKUP($A73,'Página7'!$A$1:$AA$27,COLUMN(),TRUE),2)</f>
        <v>63853.44</v>
      </c>
      <c r="H73" s="48">
        <f>ROUND(IF(MONTH($A73)=12,2.333,1)*VLOOKUP($A73,'Página7'!$A$1:$AA$27,COLUMN(),TRUE),2)</f>
        <v>29196.52</v>
      </c>
      <c r="I73" s="48">
        <f>ROUND(IF(MONTH($A73)=12,2.333,1)*VLOOKUP($A73,'Página7'!$A$1:$AA$27,COLUMN(),TRUE),2)</f>
        <v>57472.6</v>
      </c>
      <c r="J73" s="48">
        <f t="shared" si="4"/>
        <v>55651.25</v>
      </c>
      <c r="K73" s="48">
        <f>ROUND(IF(MONTH($A73)=12,2.333,1)*VLOOKUP($A73,'Página7'!$A$1:$AA$27,COLUMN(),TRUE),2)</f>
        <v>46023.86</v>
      </c>
      <c r="L73" s="48">
        <f t="shared" si="5"/>
        <v>45612.91</v>
      </c>
      <c r="M73" s="48">
        <f t="shared" si="6"/>
        <v>28677.8</v>
      </c>
      <c r="N73" s="48">
        <f>ROUND(IF(MONTH($A73)=12,2.333,1)*VLOOKUP($A73,'Página7'!$A$1:$AA$27,COLUMN(),TRUE),2)</f>
        <v>41136.55</v>
      </c>
      <c r="O73" s="48">
        <f>ROUND(IF(MONTH($A73)=12,2.333,1)*VLOOKUP($A73,'Página7'!$A$1:$AA$27,COLUMN(),TRUE),2)</f>
        <v>20784.28</v>
      </c>
      <c r="P73" s="48">
        <f>VLOOKUP($A73,'Página7'!$A$1:$AA$27,COLUMN(),TRUE)</f>
        <v>27303.7</v>
      </c>
      <c r="Q73" s="48">
        <f>VLOOKUP($A73,'Página7'!$A$1:$AA$27,COLUMN(),TRUE)</f>
        <v>9594.2</v>
      </c>
      <c r="R73" s="48">
        <f>VLOOKUP($A73,'Página7'!$A$1:$AA$27,COLUMN(),TRUE)</f>
        <v>27303.62</v>
      </c>
      <c r="S73" s="48">
        <f>VLOOKUP($A73,'Página7'!$A$1:$AA$27,COLUMN(),TRUE)</f>
        <v>3000</v>
      </c>
      <c r="T73" s="48">
        <f>VLOOKUP($A73,'Página7'!$A$1:$AA$27,COLUMN(),TRUE)</f>
        <v>16276.05</v>
      </c>
      <c r="U73" s="48">
        <f>VLOOKUP($A73,'Página7'!$A$1:$AA$27,COLUMN(),TRUE)</f>
        <v>1800</v>
      </c>
      <c r="V73" s="48">
        <f>VLOOKUP($A73,'Página7'!$A$1:$AA$27,COLUMN(),TRUE)</f>
        <v>17593.72525</v>
      </c>
      <c r="W73" s="48">
        <f>VLOOKUP($A73,'Página7'!$A$1:$AA$27,COLUMN(),TRUE)</f>
        <v>6955.795</v>
      </c>
      <c r="X73" s="48">
        <f>VLOOKUP($A73,'Página7'!$A$1:$AA$27,COLUMN(),TRUE)</f>
        <v>17593.68175</v>
      </c>
      <c r="Y73" s="48">
        <f>VLOOKUP($A73,'Página7'!$A$1:$AA$27,COLUMN(),TRUE)</f>
        <v>2175</v>
      </c>
      <c r="Z73" s="48">
        <f>VLOOKUP($A73,'Página7'!$A$1:$AA$27,COLUMN(),TRUE)</f>
        <v>11117.7425</v>
      </c>
      <c r="AA73" s="48">
        <f>VLOOKUP($A73,'Página7'!$A$1:$AA$27,COLUMN(),TRUE)</f>
        <v>1305</v>
      </c>
    </row>
    <row r="74">
      <c r="A74" s="34">
        <v>44562.0</v>
      </c>
      <c r="B74" s="48">
        <f>ROUND(IF(MONTH($A74)=12,2.333,1)*VLOOKUP($A74,'Página7'!$A$1:$AA$27,COLUMN(),TRUE),2)</f>
        <v>39293.32</v>
      </c>
      <c r="C74" s="48">
        <f t="shared" ref="C74:C145" si="7">ROUND(IF(MONTH($A74)=12,2.333,1)*(P74+ROUND((Q74/13.33333)*13,2)),2)</f>
        <v>38834.65</v>
      </c>
      <c r="D74" s="48">
        <f>ROUND(IF(MONTH($A74)=12,2.333,1)*VLOOKUP($A74,'Página7'!$A$1:$AA$27,COLUMN(),TRUE),2)</f>
        <v>30936.91</v>
      </c>
      <c r="E74" s="48">
        <f t="shared" si="2"/>
        <v>30003.62</v>
      </c>
      <c r="F74" s="48">
        <f t="shared" si="3"/>
        <v>17896.05</v>
      </c>
      <c r="G74" s="48">
        <f>ROUND(IF(MONTH($A74)=12,2.333,1)*VLOOKUP($A74,'Página7'!$A$1:$AA$27,COLUMN(),TRUE),2)</f>
        <v>27369.67</v>
      </c>
      <c r="H74" s="48">
        <f>ROUND(IF(MONTH($A74)=12,2.333,1)*VLOOKUP($A74,'Página7'!$A$1:$AA$27,COLUMN(),TRUE),2)</f>
        <v>12514.58</v>
      </c>
      <c r="I74" s="48">
        <f>ROUND(IF(MONTH($A74)=12,2.333,1)*VLOOKUP($A74,'Página7'!$A$1:$AA$27,COLUMN(),TRUE),2)</f>
        <v>24704.76</v>
      </c>
      <c r="J74" s="48">
        <f t="shared" ref="J74:J145" si="8">ROUND(IF(MONTH($A74)=12,2.333,1)*(V74+ROUND((W74/13.33333)*13,2)),2)</f>
        <v>26023.8</v>
      </c>
      <c r="K74" s="48">
        <f>ROUND(IF(MONTH($A74)=12,2.333,1)*VLOOKUP($A74,'Página7'!$A$1:$AA$27,COLUMN(),TRUE),2)</f>
        <v>19797.46</v>
      </c>
      <c r="L74" s="48">
        <f t="shared" si="5"/>
        <v>19621.31</v>
      </c>
      <c r="M74" s="48">
        <f t="shared" si="6"/>
        <v>12362.37</v>
      </c>
      <c r="N74" s="48">
        <f>ROUND(IF(MONTH($A74)=12,2.333,1)*VLOOKUP($A74,'Página7'!$A$1:$AA$27,COLUMN(),TRUE),2)</f>
        <v>17702.6</v>
      </c>
      <c r="O74" s="48">
        <f>ROUND(IF(MONTH($A74)=12,2.333,1)*VLOOKUP($A74,'Página7'!$A$1:$AA$27,COLUMN(),TRUE),2)</f>
        <v>8978.95</v>
      </c>
      <c r="P74" s="48">
        <f>VLOOKUP($A74,'Página7'!$A$1:$AA$27,COLUMN(),TRUE)</f>
        <v>27303.7</v>
      </c>
      <c r="Q74" s="48">
        <f>VLOOKUP($A74,'Página7'!$A$1:$AA$27,COLUMN(),TRUE)</f>
        <v>11826.61</v>
      </c>
      <c r="R74" s="48">
        <f>VLOOKUP($A74,'Página7'!$A$1:$AA$27,COLUMN(),TRUE)</f>
        <v>27303.62</v>
      </c>
      <c r="S74" s="48">
        <f>VLOOKUP($A74,'Página7'!$A$1:$AA$27,COLUMN(),TRUE)</f>
        <v>3000</v>
      </c>
      <c r="T74" s="48">
        <f>VLOOKUP($A74,'Página7'!$A$1:$AA$27,COLUMN(),TRUE)</f>
        <v>16276.05</v>
      </c>
      <c r="U74" s="48">
        <f>VLOOKUP($A74,'Página7'!$A$1:$AA$27,COLUMN(),TRUE)</f>
        <v>1800</v>
      </c>
      <c r="V74" s="48">
        <f>VLOOKUP($A74,'Página7'!$A$1:$AA$27,COLUMN(),TRUE)</f>
        <v>17663.86175</v>
      </c>
      <c r="W74" s="48">
        <f>VLOOKUP($A74,'Página7'!$A$1:$AA$27,COLUMN(),TRUE)</f>
        <v>8574.29225</v>
      </c>
      <c r="X74" s="48">
        <f>VLOOKUP($A74,'Página7'!$A$1:$AA$27,COLUMN(),TRUE)</f>
        <v>17663.811</v>
      </c>
      <c r="Y74" s="48">
        <f>VLOOKUP($A74,'Página7'!$A$1:$AA$27,COLUMN(),TRUE)</f>
        <v>2175</v>
      </c>
      <c r="Z74" s="48">
        <f>VLOOKUP($A74,'Página7'!$A$1:$AA$27,COLUMN(),TRUE)</f>
        <v>11187.87175</v>
      </c>
      <c r="AA74" s="48">
        <f>VLOOKUP($A74,'Página7'!$A$1:$AA$27,COLUMN(),TRUE)</f>
        <v>1305</v>
      </c>
    </row>
    <row r="75">
      <c r="A75" s="34">
        <v>44593.0</v>
      </c>
      <c r="B75" s="48">
        <f>ROUND(IF(MONTH($A75)=12,2.333,1)*VLOOKUP($A75,'Página7'!$A$1:$AA$27,COLUMN(),TRUE),2)</f>
        <v>39293.32</v>
      </c>
      <c r="C75" s="48">
        <f t="shared" si="7"/>
        <v>38834.65</v>
      </c>
      <c r="D75" s="48">
        <f>ROUND(IF(MONTH($A75)=12,2.333,1)*VLOOKUP($A75,'Página7'!$A$1:$AA$27,COLUMN(),TRUE),2)</f>
        <v>30936.91</v>
      </c>
      <c r="E75" s="48">
        <f t="shared" si="2"/>
        <v>30003.62</v>
      </c>
      <c r="F75" s="48">
        <f t="shared" si="3"/>
        <v>17896.05</v>
      </c>
      <c r="G75" s="48">
        <f>ROUND(IF(MONTH($A75)=12,2.333,1)*VLOOKUP($A75,'Página7'!$A$1:$AA$27,COLUMN(),TRUE),2)</f>
        <v>27369.67</v>
      </c>
      <c r="H75" s="48">
        <f>ROUND(IF(MONTH($A75)=12,2.333,1)*VLOOKUP($A75,'Página7'!$A$1:$AA$27,COLUMN(),TRUE),2)</f>
        <v>12514.58</v>
      </c>
      <c r="I75" s="48">
        <f>ROUND(IF(MONTH($A75)=12,2.333,1)*VLOOKUP($A75,'Página7'!$A$1:$AA$27,COLUMN(),TRUE),2)</f>
        <v>24704.76</v>
      </c>
      <c r="J75" s="48">
        <f t="shared" si="8"/>
        <v>26023.8</v>
      </c>
      <c r="K75" s="48">
        <f>ROUND(IF(MONTH($A75)=12,2.333,1)*VLOOKUP($A75,'Página7'!$A$1:$AA$27,COLUMN(),TRUE),2)</f>
        <v>19797.46</v>
      </c>
      <c r="L75" s="48">
        <f t="shared" si="5"/>
        <v>19621.31</v>
      </c>
      <c r="M75" s="48">
        <f t="shared" si="6"/>
        <v>12362.37</v>
      </c>
      <c r="N75" s="48">
        <f>ROUND(IF(MONTH($A75)=12,2.333,1)*VLOOKUP($A75,'Página7'!$A$1:$AA$27,COLUMN(),TRUE),2)</f>
        <v>17702.6</v>
      </c>
      <c r="O75" s="48">
        <f>ROUND(IF(MONTH($A75)=12,2.333,1)*VLOOKUP($A75,'Página7'!$A$1:$AA$27,COLUMN(),TRUE),2)</f>
        <v>8978.95</v>
      </c>
      <c r="P75" s="48">
        <f>VLOOKUP($A75,'Página7'!$A$1:$AA$27,COLUMN(),TRUE)</f>
        <v>27303.7</v>
      </c>
      <c r="Q75" s="48">
        <f>VLOOKUP($A75,'Página7'!$A$1:$AA$27,COLUMN(),TRUE)</f>
        <v>11826.61</v>
      </c>
      <c r="R75" s="48">
        <f>VLOOKUP($A75,'Página7'!$A$1:$AA$27,COLUMN(),TRUE)</f>
        <v>27303.62</v>
      </c>
      <c r="S75" s="48">
        <f>VLOOKUP($A75,'Página7'!$A$1:$AA$27,COLUMN(),TRUE)</f>
        <v>3000</v>
      </c>
      <c r="T75" s="48">
        <f>VLOOKUP($A75,'Página7'!$A$1:$AA$27,COLUMN(),TRUE)</f>
        <v>16276.05</v>
      </c>
      <c r="U75" s="48">
        <f>VLOOKUP($A75,'Página7'!$A$1:$AA$27,COLUMN(),TRUE)</f>
        <v>1800</v>
      </c>
      <c r="V75" s="48">
        <f>VLOOKUP($A75,'Página7'!$A$1:$AA$27,COLUMN(),TRUE)</f>
        <v>17663.86175</v>
      </c>
      <c r="W75" s="48">
        <f>VLOOKUP($A75,'Página7'!$A$1:$AA$27,COLUMN(),TRUE)</f>
        <v>8574.29225</v>
      </c>
      <c r="X75" s="48">
        <f>VLOOKUP($A75,'Página7'!$A$1:$AA$27,COLUMN(),TRUE)</f>
        <v>17663.811</v>
      </c>
      <c r="Y75" s="48">
        <f>VLOOKUP($A75,'Página7'!$A$1:$AA$27,COLUMN(),TRUE)</f>
        <v>2175</v>
      </c>
      <c r="Z75" s="48">
        <f>VLOOKUP($A75,'Página7'!$A$1:$AA$27,COLUMN(),TRUE)</f>
        <v>11187.87175</v>
      </c>
      <c r="AA75" s="48">
        <f>VLOOKUP($A75,'Página7'!$A$1:$AA$27,COLUMN(),TRUE)</f>
        <v>1305</v>
      </c>
    </row>
    <row r="76">
      <c r="A76" s="34">
        <v>44621.0</v>
      </c>
      <c r="B76" s="48">
        <f>ROUND(IF(MONTH($A76)=12,2.333,1)*VLOOKUP($A76,'Página7'!$A$1:$AA$27,COLUMN(),TRUE),2)</f>
        <v>39293.32</v>
      </c>
      <c r="C76" s="48">
        <f t="shared" si="7"/>
        <v>38834.65</v>
      </c>
      <c r="D76" s="48">
        <f>ROUND(IF(MONTH($A76)=12,2.333,1)*VLOOKUP($A76,'Página7'!$A$1:$AA$27,COLUMN(),TRUE),2)</f>
        <v>30936.91</v>
      </c>
      <c r="E76" s="48">
        <f t="shared" si="2"/>
        <v>30003.62</v>
      </c>
      <c r="F76" s="48">
        <f t="shared" si="3"/>
        <v>17896.05</v>
      </c>
      <c r="G76" s="48">
        <f>ROUND(IF(MONTH($A76)=12,2.333,1)*VLOOKUP($A76,'Página7'!$A$1:$AA$27,COLUMN(),TRUE),2)</f>
        <v>27369.67</v>
      </c>
      <c r="H76" s="48">
        <f>ROUND(IF(MONTH($A76)=12,2.333,1)*VLOOKUP($A76,'Página7'!$A$1:$AA$27,COLUMN(),TRUE),2)</f>
        <v>12514.58</v>
      </c>
      <c r="I76" s="48">
        <f>ROUND(IF(MONTH($A76)=12,2.333,1)*VLOOKUP($A76,'Página7'!$A$1:$AA$27,COLUMN(),TRUE),2)</f>
        <v>24704.76</v>
      </c>
      <c r="J76" s="48">
        <f t="shared" si="8"/>
        <v>26023.8</v>
      </c>
      <c r="K76" s="48">
        <f>ROUND(IF(MONTH($A76)=12,2.333,1)*VLOOKUP($A76,'Página7'!$A$1:$AA$27,COLUMN(),TRUE),2)</f>
        <v>19797.46</v>
      </c>
      <c r="L76" s="48">
        <f t="shared" si="5"/>
        <v>19621.31</v>
      </c>
      <c r="M76" s="48">
        <f t="shared" si="6"/>
        <v>12362.37</v>
      </c>
      <c r="N76" s="48">
        <f>ROUND(IF(MONTH($A76)=12,2.333,1)*VLOOKUP($A76,'Página7'!$A$1:$AA$27,COLUMN(),TRUE),2)</f>
        <v>17702.6</v>
      </c>
      <c r="O76" s="48">
        <f>ROUND(IF(MONTH($A76)=12,2.333,1)*VLOOKUP($A76,'Página7'!$A$1:$AA$27,COLUMN(),TRUE),2)</f>
        <v>8978.95</v>
      </c>
      <c r="P76" s="48">
        <f>VLOOKUP($A76,'Página7'!$A$1:$AA$27,COLUMN(),TRUE)</f>
        <v>27303.7</v>
      </c>
      <c r="Q76" s="48">
        <f>VLOOKUP($A76,'Página7'!$A$1:$AA$27,COLUMN(),TRUE)</f>
        <v>11826.61</v>
      </c>
      <c r="R76" s="48">
        <f>VLOOKUP($A76,'Página7'!$A$1:$AA$27,COLUMN(),TRUE)</f>
        <v>27303.62</v>
      </c>
      <c r="S76" s="48">
        <f>VLOOKUP($A76,'Página7'!$A$1:$AA$27,COLUMN(),TRUE)</f>
        <v>3000</v>
      </c>
      <c r="T76" s="48">
        <f>VLOOKUP($A76,'Página7'!$A$1:$AA$27,COLUMN(),TRUE)</f>
        <v>16276.05</v>
      </c>
      <c r="U76" s="48">
        <f>VLOOKUP($A76,'Página7'!$A$1:$AA$27,COLUMN(),TRUE)</f>
        <v>1800</v>
      </c>
      <c r="V76" s="48">
        <f>VLOOKUP($A76,'Página7'!$A$1:$AA$27,COLUMN(),TRUE)</f>
        <v>17663.86175</v>
      </c>
      <c r="W76" s="48">
        <f>VLOOKUP($A76,'Página7'!$A$1:$AA$27,COLUMN(),TRUE)</f>
        <v>8574.29225</v>
      </c>
      <c r="X76" s="48">
        <f>VLOOKUP($A76,'Página7'!$A$1:$AA$27,COLUMN(),TRUE)</f>
        <v>17663.811</v>
      </c>
      <c r="Y76" s="48">
        <f>VLOOKUP($A76,'Página7'!$A$1:$AA$27,COLUMN(),TRUE)</f>
        <v>2175</v>
      </c>
      <c r="Z76" s="48">
        <f>VLOOKUP($A76,'Página7'!$A$1:$AA$27,COLUMN(),TRUE)</f>
        <v>11187.87175</v>
      </c>
      <c r="AA76" s="48">
        <f>VLOOKUP($A76,'Página7'!$A$1:$AA$27,COLUMN(),TRUE)</f>
        <v>1305</v>
      </c>
    </row>
    <row r="77">
      <c r="A77" s="34">
        <v>44652.0</v>
      </c>
      <c r="B77" s="48">
        <f>ROUND(IF(MONTH($A77)=12,2.333,1)*VLOOKUP($A77,'Página7'!$A$1:$AA$27,COLUMN(),TRUE),2)</f>
        <v>39293.32</v>
      </c>
      <c r="C77" s="48">
        <f t="shared" si="7"/>
        <v>38834.65</v>
      </c>
      <c r="D77" s="48">
        <f>ROUND(IF(MONTH($A77)=12,2.333,1)*VLOOKUP($A77,'Página7'!$A$1:$AA$27,COLUMN(),TRUE),2)</f>
        <v>30936.91</v>
      </c>
      <c r="E77" s="48">
        <f t="shared" si="2"/>
        <v>30003.62</v>
      </c>
      <c r="F77" s="48">
        <f t="shared" si="3"/>
        <v>17896.05</v>
      </c>
      <c r="G77" s="48">
        <f>ROUND(IF(MONTH($A77)=12,2.333,1)*VLOOKUP($A77,'Página7'!$A$1:$AA$27,COLUMN(),TRUE),2)</f>
        <v>27369.67</v>
      </c>
      <c r="H77" s="48">
        <f>ROUND(IF(MONTH($A77)=12,2.333,1)*VLOOKUP($A77,'Página7'!$A$1:$AA$27,COLUMN(),TRUE),2)</f>
        <v>12514.58</v>
      </c>
      <c r="I77" s="48">
        <f>ROUND(IF(MONTH($A77)=12,2.333,1)*VLOOKUP($A77,'Página7'!$A$1:$AA$27,COLUMN(),TRUE),2)</f>
        <v>24704.76</v>
      </c>
      <c r="J77" s="48">
        <f t="shared" si="8"/>
        <v>26023.8</v>
      </c>
      <c r="K77" s="48">
        <f>ROUND(IF(MONTH($A77)=12,2.333,1)*VLOOKUP($A77,'Página7'!$A$1:$AA$27,COLUMN(),TRUE),2)</f>
        <v>19797.46</v>
      </c>
      <c r="L77" s="48">
        <f t="shared" si="5"/>
        <v>19621.31</v>
      </c>
      <c r="M77" s="48">
        <f t="shared" si="6"/>
        <v>12362.37</v>
      </c>
      <c r="N77" s="48">
        <f>ROUND(IF(MONTH($A77)=12,2.333,1)*VLOOKUP($A77,'Página7'!$A$1:$AA$27,COLUMN(),TRUE),2)</f>
        <v>17702.6</v>
      </c>
      <c r="O77" s="48">
        <f>ROUND(IF(MONTH($A77)=12,2.333,1)*VLOOKUP($A77,'Página7'!$A$1:$AA$27,COLUMN(),TRUE),2)</f>
        <v>8978.95</v>
      </c>
      <c r="P77" s="48">
        <f>VLOOKUP($A77,'Página7'!$A$1:$AA$27,COLUMN(),TRUE)</f>
        <v>27303.7</v>
      </c>
      <c r="Q77" s="48">
        <f>VLOOKUP($A77,'Página7'!$A$1:$AA$27,COLUMN(),TRUE)</f>
        <v>11826.61</v>
      </c>
      <c r="R77" s="48">
        <f>VLOOKUP($A77,'Página7'!$A$1:$AA$27,COLUMN(),TRUE)</f>
        <v>27303.62</v>
      </c>
      <c r="S77" s="48">
        <f>VLOOKUP($A77,'Página7'!$A$1:$AA$27,COLUMN(),TRUE)</f>
        <v>3000</v>
      </c>
      <c r="T77" s="48">
        <f>VLOOKUP($A77,'Página7'!$A$1:$AA$27,COLUMN(),TRUE)</f>
        <v>16276.05</v>
      </c>
      <c r="U77" s="48">
        <f>VLOOKUP($A77,'Página7'!$A$1:$AA$27,COLUMN(),TRUE)</f>
        <v>1800</v>
      </c>
      <c r="V77" s="48">
        <f>VLOOKUP($A77,'Página7'!$A$1:$AA$27,COLUMN(),TRUE)</f>
        <v>17663.86175</v>
      </c>
      <c r="W77" s="48">
        <f>VLOOKUP($A77,'Página7'!$A$1:$AA$27,COLUMN(),TRUE)</f>
        <v>8574.29225</v>
      </c>
      <c r="X77" s="48">
        <f>VLOOKUP($A77,'Página7'!$A$1:$AA$27,COLUMN(),TRUE)</f>
        <v>17663.811</v>
      </c>
      <c r="Y77" s="48">
        <f>VLOOKUP($A77,'Página7'!$A$1:$AA$27,COLUMN(),TRUE)</f>
        <v>2175</v>
      </c>
      <c r="Z77" s="48">
        <f>VLOOKUP($A77,'Página7'!$A$1:$AA$27,COLUMN(),TRUE)</f>
        <v>11187.87175</v>
      </c>
      <c r="AA77" s="48">
        <f>VLOOKUP($A77,'Página7'!$A$1:$AA$27,COLUMN(),TRUE)</f>
        <v>1305</v>
      </c>
    </row>
    <row r="78">
      <c r="A78" s="34">
        <v>44682.0</v>
      </c>
      <c r="B78" s="48">
        <f>ROUND(IF(MONTH($A78)=12,2.333,1)*VLOOKUP($A78,'Página7'!$A$1:$AA$27,COLUMN(),TRUE),2)</f>
        <v>39293.32</v>
      </c>
      <c r="C78" s="48">
        <f t="shared" si="7"/>
        <v>38834.65</v>
      </c>
      <c r="D78" s="48">
        <f>ROUND(IF(MONTH($A78)=12,2.333,1)*VLOOKUP($A78,'Página7'!$A$1:$AA$27,COLUMN(),TRUE),2)</f>
        <v>30936.91</v>
      </c>
      <c r="E78" s="48">
        <f t="shared" si="2"/>
        <v>30003.62</v>
      </c>
      <c r="F78" s="48">
        <f t="shared" si="3"/>
        <v>17896.05</v>
      </c>
      <c r="G78" s="48">
        <f>ROUND(IF(MONTH($A78)=12,2.333,1)*VLOOKUP($A78,'Página7'!$A$1:$AA$27,COLUMN(),TRUE),2)</f>
        <v>27369.67</v>
      </c>
      <c r="H78" s="48">
        <f>ROUND(IF(MONTH($A78)=12,2.333,1)*VLOOKUP($A78,'Página7'!$A$1:$AA$27,COLUMN(),TRUE),2)</f>
        <v>12514.58</v>
      </c>
      <c r="I78" s="48">
        <f>ROUND(IF(MONTH($A78)=12,2.333,1)*VLOOKUP($A78,'Página7'!$A$1:$AA$27,COLUMN(),TRUE),2)</f>
        <v>24704.76</v>
      </c>
      <c r="J78" s="48">
        <f t="shared" si="8"/>
        <v>26023.8</v>
      </c>
      <c r="K78" s="48">
        <f>ROUND(IF(MONTH($A78)=12,2.333,1)*VLOOKUP($A78,'Página7'!$A$1:$AA$27,COLUMN(),TRUE),2)</f>
        <v>19797.46</v>
      </c>
      <c r="L78" s="48">
        <f t="shared" si="5"/>
        <v>19621.31</v>
      </c>
      <c r="M78" s="48">
        <f t="shared" si="6"/>
        <v>12362.37</v>
      </c>
      <c r="N78" s="48">
        <f>ROUND(IF(MONTH($A78)=12,2.333,1)*VLOOKUP($A78,'Página7'!$A$1:$AA$27,COLUMN(),TRUE),2)</f>
        <v>17702.6</v>
      </c>
      <c r="O78" s="48">
        <f>ROUND(IF(MONTH($A78)=12,2.333,1)*VLOOKUP($A78,'Página7'!$A$1:$AA$27,COLUMN(),TRUE),2)</f>
        <v>8978.95</v>
      </c>
      <c r="P78" s="48">
        <f>VLOOKUP($A78,'Página7'!$A$1:$AA$27,COLUMN(),TRUE)</f>
        <v>27303.7</v>
      </c>
      <c r="Q78" s="48">
        <f>VLOOKUP($A78,'Página7'!$A$1:$AA$27,COLUMN(),TRUE)</f>
        <v>11826.61</v>
      </c>
      <c r="R78" s="48">
        <f>VLOOKUP($A78,'Página7'!$A$1:$AA$27,COLUMN(),TRUE)</f>
        <v>27303.62</v>
      </c>
      <c r="S78" s="48">
        <f>VLOOKUP($A78,'Página7'!$A$1:$AA$27,COLUMN(),TRUE)</f>
        <v>3000</v>
      </c>
      <c r="T78" s="48">
        <f>VLOOKUP($A78,'Página7'!$A$1:$AA$27,COLUMN(),TRUE)</f>
        <v>16276.05</v>
      </c>
      <c r="U78" s="48">
        <f>VLOOKUP($A78,'Página7'!$A$1:$AA$27,COLUMN(),TRUE)</f>
        <v>1800</v>
      </c>
      <c r="V78" s="48">
        <f>VLOOKUP($A78,'Página7'!$A$1:$AA$27,COLUMN(),TRUE)</f>
        <v>17663.86175</v>
      </c>
      <c r="W78" s="48">
        <f>VLOOKUP($A78,'Página7'!$A$1:$AA$27,COLUMN(),TRUE)</f>
        <v>8574.29225</v>
      </c>
      <c r="X78" s="48">
        <f>VLOOKUP($A78,'Página7'!$A$1:$AA$27,COLUMN(),TRUE)</f>
        <v>17663.811</v>
      </c>
      <c r="Y78" s="48">
        <f>VLOOKUP($A78,'Página7'!$A$1:$AA$27,COLUMN(),TRUE)</f>
        <v>2175</v>
      </c>
      <c r="Z78" s="48">
        <f>VLOOKUP($A78,'Página7'!$A$1:$AA$27,COLUMN(),TRUE)</f>
        <v>11187.87175</v>
      </c>
      <c r="AA78" s="48">
        <f>VLOOKUP($A78,'Página7'!$A$1:$AA$27,COLUMN(),TRUE)</f>
        <v>1305</v>
      </c>
    </row>
    <row r="79">
      <c r="A79" s="34">
        <v>44713.0</v>
      </c>
      <c r="B79" s="48">
        <f>ROUND(IF(MONTH($A79)=12,2.333,1)*VLOOKUP($A79,'Página7'!$A$1:$AA$27,COLUMN(),TRUE),2)</f>
        <v>39293.32</v>
      </c>
      <c r="C79" s="48">
        <f t="shared" si="7"/>
        <v>38834.65</v>
      </c>
      <c r="D79" s="48">
        <f>ROUND(IF(MONTH($A79)=12,2.333,1)*VLOOKUP($A79,'Página7'!$A$1:$AA$27,COLUMN(),TRUE),2)</f>
        <v>30936.91</v>
      </c>
      <c r="E79" s="48">
        <f t="shared" si="2"/>
        <v>30003.62</v>
      </c>
      <c r="F79" s="48">
        <f t="shared" si="3"/>
        <v>17896.05</v>
      </c>
      <c r="G79" s="48">
        <f>ROUND(IF(MONTH($A79)=12,2.333,1)*VLOOKUP($A79,'Página7'!$A$1:$AA$27,COLUMN(),TRUE),2)</f>
        <v>27369.67</v>
      </c>
      <c r="H79" s="48">
        <f>ROUND(IF(MONTH($A79)=12,2.333,1)*VLOOKUP($A79,'Página7'!$A$1:$AA$27,COLUMN(),TRUE),2)</f>
        <v>12514.58</v>
      </c>
      <c r="I79" s="48">
        <f>ROUND(IF(MONTH($A79)=12,2.333,1)*VLOOKUP($A79,'Página7'!$A$1:$AA$27,COLUMN(),TRUE),2)</f>
        <v>24704.76</v>
      </c>
      <c r="J79" s="48">
        <f t="shared" si="8"/>
        <v>26023.8</v>
      </c>
      <c r="K79" s="48">
        <f>ROUND(IF(MONTH($A79)=12,2.333,1)*VLOOKUP($A79,'Página7'!$A$1:$AA$27,COLUMN(),TRUE),2)</f>
        <v>19797.46</v>
      </c>
      <c r="L79" s="48">
        <f t="shared" si="5"/>
        <v>19621.31</v>
      </c>
      <c r="M79" s="48">
        <f t="shared" si="6"/>
        <v>12362.37</v>
      </c>
      <c r="N79" s="48">
        <f>ROUND(IF(MONTH($A79)=12,2.333,1)*VLOOKUP($A79,'Página7'!$A$1:$AA$27,COLUMN(),TRUE),2)</f>
        <v>17702.6</v>
      </c>
      <c r="O79" s="48">
        <f>ROUND(IF(MONTH($A79)=12,2.333,1)*VLOOKUP($A79,'Página7'!$A$1:$AA$27,COLUMN(),TRUE),2)</f>
        <v>8978.95</v>
      </c>
      <c r="P79" s="48">
        <f>VLOOKUP($A79,'Página7'!$A$1:$AA$27,COLUMN(),TRUE)</f>
        <v>27303.7</v>
      </c>
      <c r="Q79" s="48">
        <f>VLOOKUP($A79,'Página7'!$A$1:$AA$27,COLUMN(),TRUE)</f>
        <v>11826.61</v>
      </c>
      <c r="R79" s="48">
        <f>VLOOKUP($A79,'Página7'!$A$1:$AA$27,COLUMN(),TRUE)</f>
        <v>27303.62</v>
      </c>
      <c r="S79" s="48">
        <f>VLOOKUP($A79,'Página7'!$A$1:$AA$27,COLUMN(),TRUE)</f>
        <v>3000</v>
      </c>
      <c r="T79" s="48">
        <f>VLOOKUP($A79,'Página7'!$A$1:$AA$27,COLUMN(),TRUE)</f>
        <v>16276.05</v>
      </c>
      <c r="U79" s="48">
        <f>VLOOKUP($A79,'Página7'!$A$1:$AA$27,COLUMN(),TRUE)</f>
        <v>1800</v>
      </c>
      <c r="V79" s="48">
        <f>VLOOKUP($A79,'Página7'!$A$1:$AA$27,COLUMN(),TRUE)</f>
        <v>17663.86175</v>
      </c>
      <c r="W79" s="48">
        <f>VLOOKUP($A79,'Página7'!$A$1:$AA$27,COLUMN(),TRUE)</f>
        <v>8574.29225</v>
      </c>
      <c r="X79" s="48">
        <f>VLOOKUP($A79,'Página7'!$A$1:$AA$27,COLUMN(),TRUE)</f>
        <v>17663.811</v>
      </c>
      <c r="Y79" s="48">
        <f>VLOOKUP($A79,'Página7'!$A$1:$AA$27,COLUMN(),TRUE)</f>
        <v>2175</v>
      </c>
      <c r="Z79" s="48">
        <f>VLOOKUP($A79,'Página7'!$A$1:$AA$27,COLUMN(),TRUE)</f>
        <v>11187.87175</v>
      </c>
      <c r="AA79" s="48">
        <f>VLOOKUP($A79,'Página7'!$A$1:$AA$27,COLUMN(),TRUE)</f>
        <v>1305</v>
      </c>
    </row>
    <row r="80">
      <c r="A80" s="34">
        <v>44743.0</v>
      </c>
      <c r="B80" s="48">
        <f>ROUND(IF(MONTH($A80)=12,2.333,1)*VLOOKUP($A80,'Página7'!$A$1:$AA$27,COLUMN(),TRUE),2)</f>
        <v>39293.32</v>
      </c>
      <c r="C80" s="48">
        <f t="shared" si="7"/>
        <v>38834.65</v>
      </c>
      <c r="D80" s="48">
        <f>ROUND(IF(MONTH($A80)=12,2.333,1)*VLOOKUP($A80,'Página7'!$A$1:$AA$27,COLUMN(),TRUE),2)</f>
        <v>30936.91</v>
      </c>
      <c r="E80" s="48">
        <f t="shared" si="2"/>
        <v>30003.62</v>
      </c>
      <c r="F80" s="48">
        <f t="shared" si="3"/>
        <v>17896.05</v>
      </c>
      <c r="G80" s="48">
        <f>ROUND(IF(MONTH($A80)=12,2.333,1)*VLOOKUP($A80,'Página7'!$A$1:$AA$27,COLUMN(),TRUE),2)</f>
        <v>27369.67</v>
      </c>
      <c r="H80" s="48">
        <f>ROUND(IF(MONTH($A80)=12,2.333,1)*VLOOKUP($A80,'Página7'!$A$1:$AA$27,COLUMN(),TRUE),2)</f>
        <v>12514.58</v>
      </c>
      <c r="I80" s="48">
        <f>ROUND(IF(MONTH($A80)=12,2.333,1)*VLOOKUP($A80,'Página7'!$A$1:$AA$27,COLUMN(),TRUE),2)</f>
        <v>24704.76</v>
      </c>
      <c r="J80" s="48">
        <f t="shared" si="8"/>
        <v>26023.8</v>
      </c>
      <c r="K80" s="48">
        <f>ROUND(IF(MONTH($A80)=12,2.333,1)*VLOOKUP($A80,'Página7'!$A$1:$AA$27,COLUMN(),TRUE),2)</f>
        <v>19797.46</v>
      </c>
      <c r="L80" s="48">
        <f t="shared" si="5"/>
        <v>19621.31</v>
      </c>
      <c r="M80" s="48">
        <f t="shared" si="6"/>
        <v>12362.37</v>
      </c>
      <c r="N80" s="48">
        <f>ROUND(IF(MONTH($A80)=12,2.333,1)*VLOOKUP($A80,'Página7'!$A$1:$AA$27,COLUMN(),TRUE),2)</f>
        <v>17702.6</v>
      </c>
      <c r="O80" s="48">
        <f>ROUND(IF(MONTH($A80)=12,2.333,1)*VLOOKUP($A80,'Página7'!$A$1:$AA$27,COLUMN(),TRUE),2)</f>
        <v>8978.95</v>
      </c>
      <c r="P80" s="48">
        <f>VLOOKUP($A80,'Página7'!$A$1:$AA$27,COLUMN(),TRUE)</f>
        <v>27303.7</v>
      </c>
      <c r="Q80" s="48">
        <f>VLOOKUP($A80,'Página7'!$A$1:$AA$27,COLUMN(),TRUE)</f>
        <v>11826.61</v>
      </c>
      <c r="R80" s="48">
        <f>VLOOKUP($A80,'Página7'!$A$1:$AA$27,COLUMN(),TRUE)</f>
        <v>27303.62</v>
      </c>
      <c r="S80" s="48">
        <f>VLOOKUP($A80,'Página7'!$A$1:$AA$27,COLUMN(),TRUE)</f>
        <v>3000</v>
      </c>
      <c r="T80" s="48">
        <f>VLOOKUP($A80,'Página7'!$A$1:$AA$27,COLUMN(),TRUE)</f>
        <v>16276.05</v>
      </c>
      <c r="U80" s="48">
        <f>VLOOKUP($A80,'Página7'!$A$1:$AA$27,COLUMN(),TRUE)</f>
        <v>1800</v>
      </c>
      <c r="V80" s="48">
        <f>VLOOKUP($A80,'Página7'!$A$1:$AA$27,COLUMN(),TRUE)</f>
        <v>17663.86175</v>
      </c>
      <c r="W80" s="48">
        <f>VLOOKUP($A80,'Página7'!$A$1:$AA$27,COLUMN(),TRUE)</f>
        <v>8574.29225</v>
      </c>
      <c r="X80" s="48">
        <f>VLOOKUP($A80,'Página7'!$A$1:$AA$27,COLUMN(),TRUE)</f>
        <v>17663.811</v>
      </c>
      <c r="Y80" s="48">
        <f>VLOOKUP($A80,'Página7'!$A$1:$AA$27,COLUMN(),TRUE)</f>
        <v>2175</v>
      </c>
      <c r="Z80" s="48">
        <f>VLOOKUP($A80,'Página7'!$A$1:$AA$27,COLUMN(),TRUE)</f>
        <v>11187.87175</v>
      </c>
      <c r="AA80" s="48">
        <f>VLOOKUP($A80,'Página7'!$A$1:$AA$27,COLUMN(),TRUE)</f>
        <v>1305</v>
      </c>
    </row>
    <row r="81">
      <c r="A81" s="34">
        <v>44774.0</v>
      </c>
      <c r="B81" s="48">
        <f>ROUND(IF(MONTH($A81)=12,2.333,1)*VLOOKUP($A81,'Página7'!$A$1:$AA$27,COLUMN(),TRUE),2)</f>
        <v>39293.32</v>
      </c>
      <c r="C81" s="48">
        <f t="shared" si="7"/>
        <v>38834.65</v>
      </c>
      <c r="D81" s="48">
        <f>ROUND(IF(MONTH($A81)=12,2.333,1)*VLOOKUP($A81,'Página7'!$A$1:$AA$27,COLUMN(),TRUE),2)</f>
        <v>30936.91</v>
      </c>
      <c r="E81" s="48">
        <f t="shared" si="2"/>
        <v>30003.62</v>
      </c>
      <c r="F81" s="48">
        <f t="shared" si="3"/>
        <v>17896.05</v>
      </c>
      <c r="G81" s="48">
        <f>ROUND(IF(MONTH($A81)=12,2.333,1)*VLOOKUP($A81,'Página7'!$A$1:$AA$27,COLUMN(),TRUE),2)</f>
        <v>27369.67</v>
      </c>
      <c r="H81" s="48">
        <f>ROUND(IF(MONTH($A81)=12,2.333,1)*VLOOKUP($A81,'Página7'!$A$1:$AA$27,COLUMN(),TRUE),2)</f>
        <v>12514.58</v>
      </c>
      <c r="I81" s="48">
        <f>ROUND(IF(MONTH($A81)=12,2.333,1)*VLOOKUP($A81,'Página7'!$A$1:$AA$27,COLUMN(),TRUE),2)</f>
        <v>24704.76</v>
      </c>
      <c r="J81" s="48">
        <f t="shared" si="8"/>
        <v>26023.8</v>
      </c>
      <c r="K81" s="48">
        <f>ROUND(IF(MONTH($A81)=12,2.333,1)*VLOOKUP($A81,'Página7'!$A$1:$AA$27,COLUMN(),TRUE),2)</f>
        <v>19797.46</v>
      </c>
      <c r="L81" s="48">
        <f t="shared" si="5"/>
        <v>19621.31</v>
      </c>
      <c r="M81" s="48">
        <f t="shared" si="6"/>
        <v>12362.37</v>
      </c>
      <c r="N81" s="48">
        <f>ROUND(IF(MONTH($A81)=12,2.333,1)*VLOOKUP($A81,'Página7'!$A$1:$AA$27,COLUMN(),TRUE),2)</f>
        <v>17702.6</v>
      </c>
      <c r="O81" s="48">
        <f>ROUND(IF(MONTH($A81)=12,2.333,1)*VLOOKUP($A81,'Página7'!$A$1:$AA$27,COLUMN(),TRUE),2)</f>
        <v>8978.95</v>
      </c>
      <c r="P81" s="48">
        <f>VLOOKUP($A81,'Página7'!$A$1:$AA$27,COLUMN(),TRUE)</f>
        <v>27303.7</v>
      </c>
      <c r="Q81" s="48">
        <f>VLOOKUP($A81,'Página7'!$A$1:$AA$27,COLUMN(),TRUE)</f>
        <v>11826.61</v>
      </c>
      <c r="R81" s="48">
        <f>VLOOKUP($A81,'Página7'!$A$1:$AA$27,COLUMN(),TRUE)</f>
        <v>27303.62</v>
      </c>
      <c r="S81" s="48">
        <f>VLOOKUP($A81,'Página7'!$A$1:$AA$27,COLUMN(),TRUE)</f>
        <v>3000</v>
      </c>
      <c r="T81" s="48">
        <f>VLOOKUP($A81,'Página7'!$A$1:$AA$27,COLUMN(),TRUE)</f>
        <v>16276.05</v>
      </c>
      <c r="U81" s="48">
        <f>VLOOKUP($A81,'Página7'!$A$1:$AA$27,COLUMN(),TRUE)</f>
        <v>1800</v>
      </c>
      <c r="V81" s="48">
        <f>VLOOKUP($A81,'Página7'!$A$1:$AA$27,COLUMN(),TRUE)</f>
        <v>17663.86175</v>
      </c>
      <c r="W81" s="48">
        <f>VLOOKUP($A81,'Página7'!$A$1:$AA$27,COLUMN(),TRUE)</f>
        <v>8574.29225</v>
      </c>
      <c r="X81" s="48">
        <f>VLOOKUP($A81,'Página7'!$A$1:$AA$27,COLUMN(),TRUE)</f>
        <v>17663.811</v>
      </c>
      <c r="Y81" s="48">
        <f>VLOOKUP($A81,'Página7'!$A$1:$AA$27,COLUMN(),TRUE)</f>
        <v>2175</v>
      </c>
      <c r="Z81" s="48">
        <f>VLOOKUP($A81,'Página7'!$A$1:$AA$27,COLUMN(),TRUE)</f>
        <v>11187.87175</v>
      </c>
      <c r="AA81" s="48">
        <f>VLOOKUP($A81,'Página7'!$A$1:$AA$27,COLUMN(),TRUE)</f>
        <v>1305</v>
      </c>
    </row>
    <row r="82">
      <c r="A82" s="34">
        <v>44805.0</v>
      </c>
      <c r="B82" s="48">
        <f>ROUND(IF(MONTH($A82)=12,2.333,1)*VLOOKUP($A82,'Página7'!$A$1:$AA$27,COLUMN(),TRUE),2)</f>
        <v>39293.32</v>
      </c>
      <c r="C82" s="48">
        <f t="shared" si="7"/>
        <v>38834.65</v>
      </c>
      <c r="D82" s="48">
        <f>ROUND(IF(MONTH($A82)=12,2.333,1)*VLOOKUP($A82,'Página7'!$A$1:$AA$27,COLUMN(),TRUE),2)</f>
        <v>30936.91</v>
      </c>
      <c r="E82" s="48">
        <f t="shared" si="2"/>
        <v>30003.62</v>
      </c>
      <c r="F82" s="48">
        <f t="shared" si="3"/>
        <v>17896.05</v>
      </c>
      <c r="G82" s="48">
        <f>ROUND(IF(MONTH($A82)=12,2.333,1)*VLOOKUP($A82,'Página7'!$A$1:$AA$27,COLUMN(),TRUE),2)</f>
        <v>27369.67</v>
      </c>
      <c r="H82" s="48">
        <f>ROUND(IF(MONTH($A82)=12,2.333,1)*VLOOKUP($A82,'Página7'!$A$1:$AA$27,COLUMN(),TRUE),2)</f>
        <v>12514.58</v>
      </c>
      <c r="I82" s="48">
        <f>ROUND(IF(MONTH($A82)=12,2.333,1)*VLOOKUP($A82,'Página7'!$A$1:$AA$27,COLUMN(),TRUE),2)</f>
        <v>24704.76</v>
      </c>
      <c r="J82" s="48">
        <f t="shared" si="8"/>
        <v>26023.8</v>
      </c>
      <c r="K82" s="48">
        <f>ROUND(IF(MONTH($A82)=12,2.333,1)*VLOOKUP($A82,'Página7'!$A$1:$AA$27,COLUMN(),TRUE),2)</f>
        <v>19797.46</v>
      </c>
      <c r="L82" s="48">
        <f t="shared" si="5"/>
        <v>19621.31</v>
      </c>
      <c r="M82" s="48">
        <f t="shared" si="6"/>
        <v>12362.37</v>
      </c>
      <c r="N82" s="48">
        <f>ROUND(IF(MONTH($A82)=12,2.333,1)*VLOOKUP($A82,'Página7'!$A$1:$AA$27,COLUMN(),TRUE),2)</f>
        <v>17702.6</v>
      </c>
      <c r="O82" s="48">
        <f>ROUND(IF(MONTH($A82)=12,2.333,1)*VLOOKUP($A82,'Página7'!$A$1:$AA$27,COLUMN(),TRUE),2)</f>
        <v>8978.95</v>
      </c>
      <c r="P82" s="48">
        <f>VLOOKUP($A82,'Página7'!$A$1:$AA$27,COLUMN(),TRUE)</f>
        <v>27303.7</v>
      </c>
      <c r="Q82" s="48">
        <f>VLOOKUP($A82,'Página7'!$A$1:$AA$27,COLUMN(),TRUE)</f>
        <v>11826.61</v>
      </c>
      <c r="R82" s="48">
        <f>VLOOKUP($A82,'Página7'!$A$1:$AA$27,COLUMN(),TRUE)</f>
        <v>27303.62</v>
      </c>
      <c r="S82" s="48">
        <f>VLOOKUP($A82,'Página7'!$A$1:$AA$27,COLUMN(),TRUE)</f>
        <v>3000</v>
      </c>
      <c r="T82" s="48">
        <f>VLOOKUP($A82,'Página7'!$A$1:$AA$27,COLUMN(),TRUE)</f>
        <v>16276.05</v>
      </c>
      <c r="U82" s="48">
        <f>VLOOKUP($A82,'Página7'!$A$1:$AA$27,COLUMN(),TRUE)</f>
        <v>1800</v>
      </c>
      <c r="V82" s="48">
        <f>VLOOKUP($A82,'Página7'!$A$1:$AA$27,COLUMN(),TRUE)</f>
        <v>17663.86175</v>
      </c>
      <c r="W82" s="48">
        <f>VLOOKUP($A82,'Página7'!$A$1:$AA$27,COLUMN(),TRUE)</f>
        <v>8574.29225</v>
      </c>
      <c r="X82" s="48">
        <f>VLOOKUP($A82,'Página7'!$A$1:$AA$27,COLUMN(),TRUE)</f>
        <v>17663.811</v>
      </c>
      <c r="Y82" s="48">
        <f>VLOOKUP($A82,'Página7'!$A$1:$AA$27,COLUMN(),TRUE)</f>
        <v>2175</v>
      </c>
      <c r="Z82" s="48">
        <f>VLOOKUP($A82,'Página7'!$A$1:$AA$27,COLUMN(),TRUE)</f>
        <v>11187.87175</v>
      </c>
      <c r="AA82" s="48">
        <f>VLOOKUP($A82,'Página7'!$A$1:$AA$27,COLUMN(),TRUE)</f>
        <v>1305</v>
      </c>
    </row>
    <row r="83">
      <c r="A83" s="34">
        <v>44835.0</v>
      </c>
      <c r="B83" s="48">
        <f>ROUND(IF(MONTH($A83)=12,2.333,1)*VLOOKUP($A83,'Página7'!$A$1:$AA$27,COLUMN(),TRUE),2)</f>
        <v>39293.32</v>
      </c>
      <c r="C83" s="48">
        <f t="shared" si="7"/>
        <v>38834.65</v>
      </c>
      <c r="D83" s="48">
        <f>ROUND(IF(MONTH($A83)=12,2.333,1)*VLOOKUP($A83,'Página7'!$A$1:$AA$27,COLUMN(),TRUE),2)</f>
        <v>30936.91</v>
      </c>
      <c r="E83" s="48">
        <f t="shared" si="2"/>
        <v>30003.62</v>
      </c>
      <c r="F83" s="48">
        <f t="shared" si="3"/>
        <v>17896.05</v>
      </c>
      <c r="G83" s="48">
        <f>ROUND(IF(MONTH($A83)=12,2.333,1)*VLOOKUP($A83,'Página7'!$A$1:$AA$27,COLUMN(),TRUE),2)</f>
        <v>27369.67</v>
      </c>
      <c r="H83" s="48">
        <f>ROUND(IF(MONTH($A83)=12,2.333,1)*VLOOKUP($A83,'Página7'!$A$1:$AA$27,COLUMN(),TRUE),2)</f>
        <v>12514.58</v>
      </c>
      <c r="I83" s="48">
        <f>ROUND(IF(MONTH($A83)=12,2.333,1)*VLOOKUP($A83,'Página7'!$A$1:$AA$27,COLUMN(),TRUE),2)</f>
        <v>24704.76</v>
      </c>
      <c r="J83" s="48">
        <f t="shared" si="8"/>
        <v>26023.8</v>
      </c>
      <c r="K83" s="48">
        <f>ROUND(IF(MONTH($A83)=12,2.333,1)*VLOOKUP($A83,'Página7'!$A$1:$AA$27,COLUMN(),TRUE),2)</f>
        <v>19797.46</v>
      </c>
      <c r="L83" s="48">
        <f t="shared" si="5"/>
        <v>19621.31</v>
      </c>
      <c r="M83" s="48">
        <f t="shared" si="6"/>
        <v>12362.37</v>
      </c>
      <c r="N83" s="48">
        <f>ROUND(IF(MONTH($A83)=12,2.333,1)*VLOOKUP($A83,'Página7'!$A$1:$AA$27,COLUMN(),TRUE),2)</f>
        <v>17702.6</v>
      </c>
      <c r="O83" s="48">
        <f>ROUND(IF(MONTH($A83)=12,2.333,1)*VLOOKUP($A83,'Página7'!$A$1:$AA$27,COLUMN(),TRUE),2)</f>
        <v>8978.95</v>
      </c>
      <c r="P83" s="48">
        <f>VLOOKUP($A83,'Página7'!$A$1:$AA$27,COLUMN(),TRUE)</f>
        <v>27303.7</v>
      </c>
      <c r="Q83" s="48">
        <f>VLOOKUP($A83,'Página7'!$A$1:$AA$27,COLUMN(),TRUE)</f>
        <v>11826.61</v>
      </c>
      <c r="R83" s="48">
        <f>VLOOKUP($A83,'Página7'!$A$1:$AA$27,COLUMN(),TRUE)</f>
        <v>27303.62</v>
      </c>
      <c r="S83" s="48">
        <f>VLOOKUP($A83,'Página7'!$A$1:$AA$27,COLUMN(),TRUE)</f>
        <v>3000</v>
      </c>
      <c r="T83" s="48">
        <f>VLOOKUP($A83,'Página7'!$A$1:$AA$27,COLUMN(),TRUE)</f>
        <v>16276.05</v>
      </c>
      <c r="U83" s="48">
        <f>VLOOKUP($A83,'Página7'!$A$1:$AA$27,COLUMN(),TRUE)</f>
        <v>1800</v>
      </c>
      <c r="V83" s="48">
        <f>VLOOKUP($A83,'Página7'!$A$1:$AA$27,COLUMN(),TRUE)</f>
        <v>17663.86175</v>
      </c>
      <c r="W83" s="48">
        <f>VLOOKUP($A83,'Página7'!$A$1:$AA$27,COLUMN(),TRUE)</f>
        <v>8574.29225</v>
      </c>
      <c r="X83" s="48">
        <f>VLOOKUP($A83,'Página7'!$A$1:$AA$27,COLUMN(),TRUE)</f>
        <v>17663.811</v>
      </c>
      <c r="Y83" s="48">
        <f>VLOOKUP($A83,'Página7'!$A$1:$AA$27,COLUMN(),TRUE)</f>
        <v>2175</v>
      </c>
      <c r="Z83" s="48">
        <f>VLOOKUP($A83,'Página7'!$A$1:$AA$27,COLUMN(),TRUE)</f>
        <v>11187.87175</v>
      </c>
      <c r="AA83" s="48">
        <f>VLOOKUP($A83,'Página7'!$A$1:$AA$27,COLUMN(),TRUE)</f>
        <v>1305</v>
      </c>
    </row>
    <row r="84">
      <c r="A84" s="34">
        <v>44866.0</v>
      </c>
      <c r="B84" s="48">
        <f>ROUND(IF(MONTH($A84)=12,2.333,1)*VLOOKUP($A84,'Página7'!$A$1:$AA$27,COLUMN(),TRUE),2)</f>
        <v>39293.32</v>
      </c>
      <c r="C84" s="48">
        <f t="shared" si="7"/>
        <v>38834.65</v>
      </c>
      <c r="D84" s="48">
        <f>ROUND(IF(MONTH($A84)=12,2.333,1)*VLOOKUP($A84,'Página7'!$A$1:$AA$27,COLUMN(),TRUE),2)</f>
        <v>30936.91</v>
      </c>
      <c r="E84" s="48">
        <f t="shared" si="2"/>
        <v>30003.62</v>
      </c>
      <c r="F84" s="48">
        <f t="shared" si="3"/>
        <v>17896.05</v>
      </c>
      <c r="G84" s="48">
        <f>ROUND(IF(MONTH($A84)=12,2.333,1)*VLOOKUP($A84,'Página7'!$A$1:$AA$27,COLUMN(),TRUE),2)</f>
        <v>27369.67</v>
      </c>
      <c r="H84" s="48">
        <f>ROUND(IF(MONTH($A84)=12,2.333,1)*VLOOKUP($A84,'Página7'!$A$1:$AA$27,COLUMN(),TRUE),2)</f>
        <v>12514.58</v>
      </c>
      <c r="I84" s="48">
        <f>ROUND(IF(MONTH($A84)=12,2.333,1)*VLOOKUP($A84,'Página7'!$A$1:$AA$27,COLUMN(),TRUE),2)</f>
        <v>24704.76</v>
      </c>
      <c r="J84" s="48">
        <f t="shared" si="8"/>
        <v>26023.8</v>
      </c>
      <c r="K84" s="48">
        <f>ROUND(IF(MONTH($A84)=12,2.333,1)*VLOOKUP($A84,'Página7'!$A$1:$AA$27,COLUMN(),TRUE),2)</f>
        <v>19797.46</v>
      </c>
      <c r="L84" s="48">
        <f t="shared" si="5"/>
        <v>19621.31</v>
      </c>
      <c r="M84" s="48">
        <f t="shared" si="6"/>
        <v>12362.37</v>
      </c>
      <c r="N84" s="48">
        <f>ROUND(IF(MONTH($A84)=12,2.333,1)*VLOOKUP($A84,'Página7'!$A$1:$AA$27,COLUMN(),TRUE),2)</f>
        <v>17702.6</v>
      </c>
      <c r="O84" s="48">
        <f>ROUND(IF(MONTH($A84)=12,2.333,1)*VLOOKUP($A84,'Página7'!$A$1:$AA$27,COLUMN(),TRUE),2)</f>
        <v>8978.95</v>
      </c>
      <c r="P84" s="48">
        <f>VLOOKUP($A84,'Página7'!$A$1:$AA$27,COLUMN(),TRUE)</f>
        <v>27303.7</v>
      </c>
      <c r="Q84" s="48">
        <f>VLOOKUP($A84,'Página7'!$A$1:$AA$27,COLUMN(),TRUE)</f>
        <v>11826.61</v>
      </c>
      <c r="R84" s="48">
        <f>VLOOKUP($A84,'Página7'!$A$1:$AA$27,COLUMN(),TRUE)</f>
        <v>27303.62</v>
      </c>
      <c r="S84" s="48">
        <f>VLOOKUP($A84,'Página7'!$A$1:$AA$27,COLUMN(),TRUE)</f>
        <v>3000</v>
      </c>
      <c r="T84" s="48">
        <f>VLOOKUP($A84,'Página7'!$A$1:$AA$27,COLUMN(),TRUE)</f>
        <v>16276.05</v>
      </c>
      <c r="U84" s="48">
        <f>VLOOKUP($A84,'Página7'!$A$1:$AA$27,COLUMN(),TRUE)</f>
        <v>1800</v>
      </c>
      <c r="V84" s="48">
        <f>VLOOKUP($A84,'Página7'!$A$1:$AA$27,COLUMN(),TRUE)</f>
        <v>17663.86175</v>
      </c>
      <c r="W84" s="48">
        <f>VLOOKUP($A84,'Página7'!$A$1:$AA$27,COLUMN(),TRUE)</f>
        <v>8574.29225</v>
      </c>
      <c r="X84" s="48">
        <f>VLOOKUP($A84,'Página7'!$A$1:$AA$27,COLUMN(),TRUE)</f>
        <v>17663.811</v>
      </c>
      <c r="Y84" s="48">
        <f>VLOOKUP($A84,'Página7'!$A$1:$AA$27,COLUMN(),TRUE)</f>
        <v>2175</v>
      </c>
      <c r="Z84" s="48">
        <f>VLOOKUP($A84,'Página7'!$A$1:$AA$27,COLUMN(),TRUE)</f>
        <v>11187.87175</v>
      </c>
      <c r="AA84" s="48">
        <f>VLOOKUP($A84,'Página7'!$A$1:$AA$27,COLUMN(),TRUE)</f>
        <v>1305</v>
      </c>
    </row>
    <row r="85">
      <c r="A85" s="34">
        <v>44896.0</v>
      </c>
      <c r="B85" s="48">
        <f>ROUND(IF(MONTH($A85)=12,2.333,1)*VLOOKUP($A85,'Página7'!$A$1:$AA$27,COLUMN(),TRUE),2)</f>
        <v>91671.32</v>
      </c>
      <c r="C85" s="48">
        <f t="shared" si="7"/>
        <v>90601.24</v>
      </c>
      <c r="D85" s="48">
        <f>ROUND(IF(MONTH($A85)=12,2.333,1)*VLOOKUP($A85,'Página7'!$A$1:$AA$27,COLUMN(),TRUE),2)</f>
        <v>72175.81</v>
      </c>
      <c r="E85" s="48">
        <f t="shared" si="2"/>
        <v>69998.45</v>
      </c>
      <c r="F85" s="48">
        <f t="shared" si="3"/>
        <v>41751.48</v>
      </c>
      <c r="G85" s="48">
        <f>ROUND(IF(MONTH($A85)=12,2.333,1)*VLOOKUP($A85,'Página7'!$A$1:$AA$27,COLUMN(),TRUE),2)</f>
        <v>63853.44</v>
      </c>
      <c r="H85" s="48">
        <f>ROUND(IF(MONTH($A85)=12,2.333,1)*VLOOKUP($A85,'Página7'!$A$1:$AA$27,COLUMN(),TRUE),2)</f>
        <v>29196.52</v>
      </c>
      <c r="I85" s="48">
        <f>ROUND(IF(MONTH($A85)=12,2.333,1)*VLOOKUP($A85,'Página7'!$A$1:$AA$27,COLUMN(),TRUE),2)</f>
        <v>57636.22</v>
      </c>
      <c r="J85" s="48">
        <f t="shared" si="8"/>
        <v>60713.53</v>
      </c>
      <c r="K85" s="48">
        <f>ROUND(IF(MONTH($A85)=12,2.333,1)*VLOOKUP($A85,'Página7'!$A$1:$AA$27,COLUMN(),TRUE),2)</f>
        <v>46187.48</v>
      </c>
      <c r="L85" s="48">
        <f t="shared" si="5"/>
        <v>45776.52</v>
      </c>
      <c r="M85" s="48">
        <f t="shared" si="6"/>
        <v>28841.41</v>
      </c>
      <c r="N85" s="48">
        <f>ROUND(IF(MONTH($A85)=12,2.333,1)*VLOOKUP($A85,'Página7'!$A$1:$AA$27,COLUMN(),TRUE),2)</f>
        <v>41300.16</v>
      </c>
      <c r="O85" s="48">
        <f>ROUND(IF(MONTH($A85)=12,2.333,1)*VLOOKUP($A85,'Página7'!$A$1:$AA$27,COLUMN(),TRUE),2)</f>
        <v>20947.89</v>
      </c>
      <c r="P85" s="48">
        <f>VLOOKUP($A85,'Página7'!$A$1:$AA$27,COLUMN(),TRUE)</f>
        <v>27303.7</v>
      </c>
      <c r="Q85" s="48">
        <f>VLOOKUP($A85,'Página7'!$A$1:$AA$27,COLUMN(),TRUE)</f>
        <v>11826.61</v>
      </c>
      <c r="R85" s="48">
        <f>VLOOKUP($A85,'Página7'!$A$1:$AA$27,COLUMN(),TRUE)</f>
        <v>27303.62</v>
      </c>
      <c r="S85" s="48">
        <f>VLOOKUP($A85,'Página7'!$A$1:$AA$27,COLUMN(),TRUE)</f>
        <v>3000</v>
      </c>
      <c r="T85" s="48">
        <f>VLOOKUP($A85,'Página7'!$A$1:$AA$27,COLUMN(),TRUE)</f>
        <v>16276.05</v>
      </c>
      <c r="U85" s="48">
        <f>VLOOKUP($A85,'Página7'!$A$1:$AA$27,COLUMN(),TRUE)</f>
        <v>1800</v>
      </c>
      <c r="V85" s="48">
        <f>VLOOKUP($A85,'Página7'!$A$1:$AA$27,COLUMN(),TRUE)</f>
        <v>17663.86175</v>
      </c>
      <c r="W85" s="48">
        <f>VLOOKUP($A85,'Página7'!$A$1:$AA$27,COLUMN(),TRUE)</f>
        <v>8574.29225</v>
      </c>
      <c r="X85" s="48">
        <f>VLOOKUP($A85,'Página7'!$A$1:$AA$27,COLUMN(),TRUE)</f>
        <v>17663.811</v>
      </c>
      <c r="Y85" s="48">
        <f>VLOOKUP($A85,'Página7'!$A$1:$AA$27,COLUMN(),TRUE)</f>
        <v>2175</v>
      </c>
      <c r="Z85" s="48">
        <f>VLOOKUP($A85,'Página7'!$A$1:$AA$27,COLUMN(),TRUE)</f>
        <v>11187.87175</v>
      </c>
      <c r="AA85" s="48">
        <f>VLOOKUP($A85,'Página7'!$A$1:$AA$27,COLUMN(),TRUE)</f>
        <v>1305</v>
      </c>
    </row>
    <row r="86">
      <c r="A86" s="34">
        <v>44927.0</v>
      </c>
      <c r="B86" s="48">
        <f>ROUND(IF(MONTH($A86)=12,2.333,1)*VLOOKUP($A86,'Página7'!$A$1:$AA$27,COLUMN(),TRUE),2)</f>
        <v>39293.32</v>
      </c>
      <c r="C86" s="48">
        <f t="shared" si="7"/>
        <v>38991.27</v>
      </c>
      <c r="D86" s="48">
        <f>ROUND(IF(MONTH($A86)=12,2.333,1)*VLOOKUP($A86,'Página7'!$A$1:$AA$27,COLUMN(),TRUE),2)</f>
        <v>30936.91</v>
      </c>
      <c r="E86" s="48">
        <f t="shared" si="2"/>
        <v>30003.62</v>
      </c>
      <c r="F86" s="48">
        <f t="shared" si="3"/>
        <v>17896.05</v>
      </c>
      <c r="G86" s="48">
        <f>ROUND(IF(MONTH($A86)=12,2.333,1)*VLOOKUP($A86,'Página7'!$A$1:$AA$27,COLUMN(),TRUE),2)</f>
        <v>27369.67</v>
      </c>
      <c r="H86" s="48">
        <f>ROUND(IF(MONTH($A86)=12,2.333,1)*VLOOKUP($A86,'Página7'!$A$1:$AA$27,COLUMN(),TRUE),2)</f>
        <v>12514.58</v>
      </c>
      <c r="I86" s="48">
        <f>ROUND(IF(MONTH($A86)=12,2.333,1)*VLOOKUP($A86,'Página7'!$A$1:$AA$27,COLUMN(),TRUE),2)</f>
        <v>24750.05</v>
      </c>
      <c r="J86" s="48">
        <f t="shared" si="8"/>
        <v>26182.64</v>
      </c>
      <c r="K86" s="48">
        <f>ROUND(IF(MONTH($A86)=12,2.333,1)*VLOOKUP($A86,'Página7'!$A$1:$AA$27,COLUMN(),TRUE),2)</f>
        <v>19842.75</v>
      </c>
      <c r="L86" s="48">
        <f t="shared" si="5"/>
        <v>19666.59</v>
      </c>
      <c r="M86" s="48">
        <f t="shared" si="6"/>
        <v>12407.66</v>
      </c>
      <c r="N86" s="48">
        <f>ROUND(IF(MONTH($A86)=12,2.333,1)*VLOOKUP($A86,'Página7'!$A$1:$AA$27,COLUMN(),TRUE),2)</f>
        <v>17747.88</v>
      </c>
      <c r="O86" s="48">
        <f>ROUND(IF(MONTH($A86)=12,2.333,1)*VLOOKUP($A86,'Página7'!$A$1:$AA$27,COLUMN(),TRUE),2)</f>
        <v>9024.23</v>
      </c>
      <c r="P86" s="48">
        <f>VLOOKUP($A86,'Página7'!$A$1:$AA$27,COLUMN(),TRUE)</f>
        <v>27303.7</v>
      </c>
      <c r="Q86" s="48">
        <f>VLOOKUP($A86,'Página7'!$A$1:$AA$27,COLUMN(),TRUE)</f>
        <v>11987.25</v>
      </c>
      <c r="R86" s="48">
        <f>VLOOKUP($A86,'Página7'!$A$1:$AA$27,COLUMN(),TRUE)</f>
        <v>27303.62</v>
      </c>
      <c r="S86" s="48">
        <f>VLOOKUP($A86,'Página7'!$A$1:$AA$27,COLUMN(),TRUE)</f>
        <v>3000</v>
      </c>
      <c r="T86" s="48">
        <f>VLOOKUP($A86,'Página7'!$A$1:$AA$27,COLUMN(),TRUE)</f>
        <v>16276.05</v>
      </c>
      <c r="U86" s="48">
        <f>VLOOKUP($A86,'Página7'!$A$1:$AA$27,COLUMN(),TRUE)</f>
        <v>1800</v>
      </c>
      <c r="V86" s="48">
        <f>VLOOKUP($A86,'Página7'!$A$1:$AA$27,COLUMN(),TRUE)</f>
        <v>17709.14525</v>
      </c>
      <c r="W86" s="48">
        <f>VLOOKUP($A86,'Página7'!$A$1:$AA$27,COLUMN(),TRUE)</f>
        <v>8690.75625</v>
      </c>
      <c r="X86" s="48">
        <f>VLOOKUP($A86,'Página7'!$A$1:$AA$27,COLUMN(),TRUE)</f>
        <v>17709.0945</v>
      </c>
      <c r="Y86" s="48">
        <f>VLOOKUP($A86,'Página7'!$A$1:$AA$27,COLUMN(),TRUE)</f>
        <v>2175</v>
      </c>
      <c r="Z86" s="48">
        <f>VLOOKUP($A86,'Página7'!$A$1:$AA$27,COLUMN(),TRUE)</f>
        <v>11233.15525</v>
      </c>
      <c r="AA86" s="48">
        <f>VLOOKUP($A86,'Página7'!$A$1:$AA$27,COLUMN(),TRUE)</f>
        <v>1305</v>
      </c>
    </row>
    <row r="87">
      <c r="A87" s="34">
        <v>44958.0</v>
      </c>
      <c r="B87" s="48">
        <f>ROUND(IF(MONTH($A87)=12,2.333,1)*VLOOKUP($A87,'Página7'!$A$1:$AA$27,COLUMN(),TRUE),2)</f>
        <v>39293.32</v>
      </c>
      <c r="C87" s="48">
        <f t="shared" si="7"/>
        <v>38993.58</v>
      </c>
      <c r="D87" s="48">
        <f>ROUND(IF(MONTH($A87)=12,2.333,1)*VLOOKUP($A87,'Página7'!$A$1:$AA$27,COLUMN(),TRUE),2)</f>
        <v>30936.91</v>
      </c>
      <c r="E87" s="48">
        <f t="shared" si="2"/>
        <v>30003.62</v>
      </c>
      <c r="F87" s="48">
        <f t="shared" si="3"/>
        <v>17896.05</v>
      </c>
      <c r="G87" s="48">
        <f>ROUND(IF(MONTH($A87)=12,2.333,1)*VLOOKUP($A87,'Página7'!$A$1:$AA$27,COLUMN(),TRUE),2)</f>
        <v>27369.67</v>
      </c>
      <c r="H87" s="48">
        <f>ROUND(IF(MONTH($A87)=12,2.333,1)*VLOOKUP($A87,'Página7'!$A$1:$AA$27,COLUMN(),TRUE),2)</f>
        <v>12514.58</v>
      </c>
      <c r="I87" s="48">
        <f>ROUND(IF(MONTH($A87)=12,2.333,1)*VLOOKUP($A87,'Página7'!$A$1:$AA$27,COLUMN(),TRUE),2)</f>
        <v>24750.05</v>
      </c>
      <c r="J87" s="48">
        <f t="shared" si="8"/>
        <v>26184.31</v>
      </c>
      <c r="K87" s="48">
        <f>ROUND(IF(MONTH($A87)=12,2.333,1)*VLOOKUP($A87,'Página7'!$A$1:$AA$27,COLUMN(),TRUE),2)</f>
        <v>19842.75</v>
      </c>
      <c r="L87" s="48">
        <f t="shared" si="5"/>
        <v>19666.59</v>
      </c>
      <c r="M87" s="48">
        <f t="shared" si="6"/>
        <v>12407.66</v>
      </c>
      <c r="N87" s="48">
        <f>ROUND(IF(MONTH($A87)=12,2.333,1)*VLOOKUP($A87,'Página7'!$A$1:$AA$27,COLUMN(),TRUE),2)</f>
        <v>17747.88</v>
      </c>
      <c r="O87" s="48">
        <f>ROUND(IF(MONTH($A87)=12,2.333,1)*VLOOKUP($A87,'Página7'!$A$1:$AA$27,COLUMN(),TRUE),2)</f>
        <v>9024.23</v>
      </c>
      <c r="P87" s="48">
        <f>VLOOKUP($A87,'Página7'!$A$1:$AA$27,COLUMN(),TRUE)</f>
        <v>27303.7</v>
      </c>
      <c r="Q87" s="48">
        <f>VLOOKUP($A87,'Página7'!$A$1:$AA$27,COLUMN(),TRUE)</f>
        <v>11989.62</v>
      </c>
      <c r="R87" s="48">
        <f>VLOOKUP($A87,'Página7'!$A$1:$AA$27,COLUMN(),TRUE)</f>
        <v>27303.62</v>
      </c>
      <c r="S87" s="48">
        <f>VLOOKUP($A87,'Página7'!$A$1:$AA$27,COLUMN(),TRUE)</f>
        <v>3000</v>
      </c>
      <c r="T87" s="48">
        <f>VLOOKUP($A87,'Página7'!$A$1:$AA$27,COLUMN(),TRUE)</f>
        <v>16276.05</v>
      </c>
      <c r="U87" s="48">
        <f>VLOOKUP($A87,'Página7'!$A$1:$AA$27,COLUMN(),TRUE)</f>
        <v>1800</v>
      </c>
      <c r="V87" s="48">
        <f>VLOOKUP($A87,'Página7'!$A$1:$AA$27,COLUMN(),TRUE)</f>
        <v>17709.14525</v>
      </c>
      <c r="W87" s="48">
        <f>VLOOKUP($A87,'Página7'!$A$1:$AA$27,COLUMN(),TRUE)</f>
        <v>8692.4745</v>
      </c>
      <c r="X87" s="48">
        <f>VLOOKUP($A87,'Página7'!$A$1:$AA$27,COLUMN(),TRUE)</f>
        <v>17709.0945</v>
      </c>
      <c r="Y87" s="48">
        <f>VLOOKUP($A87,'Página7'!$A$1:$AA$27,COLUMN(),TRUE)</f>
        <v>2175</v>
      </c>
      <c r="Z87" s="48">
        <f>VLOOKUP($A87,'Página7'!$A$1:$AA$27,COLUMN(),TRUE)</f>
        <v>11233.15525</v>
      </c>
      <c r="AA87" s="48">
        <f>VLOOKUP($A87,'Página7'!$A$1:$AA$27,COLUMN(),TRUE)</f>
        <v>1305</v>
      </c>
    </row>
    <row r="88">
      <c r="A88" s="34">
        <v>44986.0</v>
      </c>
      <c r="B88" s="48">
        <f>ROUND(IF(MONTH($A88)=12,2.333,1)*VLOOKUP($A88,'Página7'!$A$1:$AA$27,COLUMN(),TRUE),2)</f>
        <v>39293.32</v>
      </c>
      <c r="C88" s="48">
        <f t="shared" si="7"/>
        <v>38993.58</v>
      </c>
      <c r="D88" s="48">
        <f>ROUND(IF(MONTH($A88)=12,2.333,1)*VLOOKUP($A88,'Página7'!$A$1:$AA$27,COLUMN(),TRUE),2)</f>
        <v>30936.91</v>
      </c>
      <c r="E88" s="48">
        <f t="shared" si="2"/>
        <v>30003.62</v>
      </c>
      <c r="F88" s="48">
        <f t="shared" si="3"/>
        <v>17896.05</v>
      </c>
      <c r="G88" s="48">
        <f>ROUND(IF(MONTH($A88)=12,2.333,1)*VLOOKUP($A88,'Página7'!$A$1:$AA$27,COLUMN(),TRUE),2)</f>
        <v>27369.67</v>
      </c>
      <c r="H88" s="48">
        <f>ROUND(IF(MONTH($A88)=12,2.333,1)*VLOOKUP($A88,'Página7'!$A$1:$AA$27,COLUMN(),TRUE),2)</f>
        <v>12514.58</v>
      </c>
      <c r="I88" s="48">
        <f>ROUND(IF(MONTH($A88)=12,2.333,1)*VLOOKUP($A88,'Página7'!$A$1:$AA$27,COLUMN(),TRUE),2)</f>
        <v>24750.05</v>
      </c>
      <c r="J88" s="48">
        <f t="shared" si="8"/>
        <v>26184.31</v>
      </c>
      <c r="K88" s="48">
        <f>ROUND(IF(MONTH($A88)=12,2.333,1)*VLOOKUP($A88,'Página7'!$A$1:$AA$27,COLUMN(),TRUE),2)</f>
        <v>19842.75</v>
      </c>
      <c r="L88" s="48">
        <f t="shared" si="5"/>
        <v>19666.59</v>
      </c>
      <c r="M88" s="48">
        <f t="shared" si="6"/>
        <v>12407.66</v>
      </c>
      <c r="N88" s="48">
        <f>ROUND(IF(MONTH($A88)=12,2.333,1)*VLOOKUP($A88,'Página7'!$A$1:$AA$27,COLUMN(),TRUE),2)</f>
        <v>17747.88</v>
      </c>
      <c r="O88" s="48">
        <f>ROUND(IF(MONTH($A88)=12,2.333,1)*VLOOKUP($A88,'Página7'!$A$1:$AA$27,COLUMN(),TRUE),2)</f>
        <v>9024.23</v>
      </c>
      <c r="P88" s="48">
        <f>VLOOKUP($A88,'Página7'!$A$1:$AA$27,COLUMN(),TRUE)</f>
        <v>27303.7</v>
      </c>
      <c r="Q88" s="48">
        <f>VLOOKUP($A88,'Página7'!$A$1:$AA$27,COLUMN(),TRUE)</f>
        <v>11989.62</v>
      </c>
      <c r="R88" s="48">
        <f>VLOOKUP($A88,'Página7'!$A$1:$AA$27,COLUMN(),TRUE)</f>
        <v>27303.62</v>
      </c>
      <c r="S88" s="48">
        <f>VLOOKUP($A88,'Página7'!$A$1:$AA$27,COLUMN(),TRUE)</f>
        <v>3000</v>
      </c>
      <c r="T88" s="48">
        <f>VLOOKUP($A88,'Página7'!$A$1:$AA$27,COLUMN(),TRUE)</f>
        <v>16276.05</v>
      </c>
      <c r="U88" s="48">
        <f>VLOOKUP($A88,'Página7'!$A$1:$AA$27,COLUMN(),TRUE)</f>
        <v>1800</v>
      </c>
      <c r="V88" s="48">
        <f>VLOOKUP($A88,'Página7'!$A$1:$AA$27,COLUMN(),TRUE)</f>
        <v>17709.14525</v>
      </c>
      <c r="W88" s="48">
        <f>VLOOKUP($A88,'Página7'!$A$1:$AA$27,COLUMN(),TRUE)</f>
        <v>8692.4745</v>
      </c>
      <c r="X88" s="48">
        <f>VLOOKUP($A88,'Página7'!$A$1:$AA$27,COLUMN(),TRUE)</f>
        <v>17709.0945</v>
      </c>
      <c r="Y88" s="48">
        <f>VLOOKUP($A88,'Página7'!$A$1:$AA$27,COLUMN(),TRUE)</f>
        <v>2175</v>
      </c>
      <c r="Z88" s="48">
        <f>VLOOKUP($A88,'Página7'!$A$1:$AA$27,COLUMN(),TRUE)</f>
        <v>11233.15525</v>
      </c>
      <c r="AA88" s="48">
        <f>VLOOKUP($A88,'Página7'!$A$1:$AA$27,COLUMN(),TRUE)</f>
        <v>1305</v>
      </c>
    </row>
    <row r="89">
      <c r="A89" s="34">
        <v>45017.0</v>
      </c>
      <c r="B89" s="48">
        <f>ROUND(IF(MONTH($A89)=12,2.333,1)*VLOOKUP($A89,'Página7'!$A$1:$AA$27,COLUMN(),TRUE),2)</f>
        <v>41650.92</v>
      </c>
      <c r="C89" s="48">
        <f t="shared" si="7"/>
        <v>41050.06</v>
      </c>
      <c r="D89" s="48">
        <f>ROUND(IF(MONTH($A89)=12,2.333,1)*VLOOKUP($A89,'Página7'!$A$1:$AA$27,COLUMN(),TRUE),2)</f>
        <v>30936.91</v>
      </c>
      <c r="E89" s="48">
        <f t="shared" si="2"/>
        <v>30003.62</v>
      </c>
      <c r="F89" s="48">
        <f t="shared" si="3"/>
        <v>17896.05</v>
      </c>
      <c r="G89" s="48">
        <f>ROUND(IF(MONTH($A89)=12,2.333,1)*VLOOKUP($A89,'Página7'!$A$1:$AA$27,COLUMN(),TRUE),2)</f>
        <v>27369.67</v>
      </c>
      <c r="H89" s="48">
        <f>ROUND(IF(MONTH($A89)=12,2.333,1)*VLOOKUP($A89,'Página7'!$A$1:$AA$27,COLUMN(),TRUE),2)</f>
        <v>12514.58</v>
      </c>
      <c r="I89" s="48">
        <f>ROUND(IF(MONTH($A89)=12,2.333,1)*VLOOKUP($A89,'Página7'!$A$1:$AA$27,COLUMN(),TRUE),2)</f>
        <v>26134.54</v>
      </c>
      <c r="J89" s="48">
        <f t="shared" si="8"/>
        <v>27675.26</v>
      </c>
      <c r="K89" s="48">
        <f>ROUND(IF(MONTH($A89)=12,2.333,1)*VLOOKUP($A89,'Página7'!$A$1:$AA$27,COLUMN(),TRUE),2)</f>
        <v>19842.75</v>
      </c>
      <c r="L89" s="48">
        <f t="shared" si="5"/>
        <v>19666.59</v>
      </c>
      <c r="M89" s="48">
        <f t="shared" si="6"/>
        <v>12407.66</v>
      </c>
      <c r="N89" s="48">
        <f>ROUND(IF(MONTH($A89)=12,2.333,1)*VLOOKUP($A89,'Página7'!$A$1:$AA$27,COLUMN(),TRUE),2)</f>
        <v>17747.88</v>
      </c>
      <c r="O89" s="48">
        <f>ROUND(IF(MONTH($A89)=12,2.333,1)*VLOOKUP($A89,'Página7'!$A$1:$AA$27,COLUMN(),TRUE),2)</f>
        <v>9024.23</v>
      </c>
      <c r="P89" s="48">
        <f>VLOOKUP($A89,'Página7'!$A$1:$AA$27,COLUMN(),TRUE)</f>
        <v>27303.7</v>
      </c>
      <c r="Q89" s="48">
        <f>VLOOKUP($A89,'Página7'!$A$1:$AA$27,COLUMN(),TRUE)</f>
        <v>14098.83</v>
      </c>
      <c r="R89" s="48">
        <f>VLOOKUP($A89,'Página7'!$A$1:$AA$27,COLUMN(),TRUE)</f>
        <v>27303.62</v>
      </c>
      <c r="S89" s="48">
        <f>VLOOKUP($A89,'Página7'!$A$1:$AA$27,COLUMN(),TRUE)</f>
        <v>3000</v>
      </c>
      <c r="T89" s="48">
        <f>VLOOKUP($A89,'Página7'!$A$1:$AA$27,COLUMN(),TRUE)</f>
        <v>16276.05</v>
      </c>
      <c r="U89" s="48">
        <f>VLOOKUP($A89,'Página7'!$A$1:$AA$27,COLUMN(),TRUE)</f>
        <v>1800</v>
      </c>
      <c r="V89" s="48">
        <f>VLOOKUP($A89,'Página7'!$A$1:$AA$27,COLUMN(),TRUE)</f>
        <v>17709.14525</v>
      </c>
      <c r="W89" s="48">
        <f>VLOOKUP($A89,'Página7'!$A$1:$AA$27,COLUMN(),TRUE)</f>
        <v>10221.65175</v>
      </c>
      <c r="X89" s="48">
        <f>VLOOKUP($A89,'Página7'!$A$1:$AA$27,COLUMN(),TRUE)</f>
        <v>17709.0945</v>
      </c>
      <c r="Y89" s="48">
        <f>VLOOKUP($A89,'Página7'!$A$1:$AA$27,COLUMN(),TRUE)</f>
        <v>2175</v>
      </c>
      <c r="Z89" s="48">
        <f>VLOOKUP($A89,'Página7'!$A$1:$AA$27,COLUMN(),TRUE)</f>
        <v>11233.15525</v>
      </c>
      <c r="AA89" s="48">
        <f>VLOOKUP($A89,'Página7'!$A$1:$AA$27,COLUMN(),TRUE)</f>
        <v>1305</v>
      </c>
    </row>
    <row r="90">
      <c r="A90" s="34">
        <v>45047.0</v>
      </c>
      <c r="B90" s="48">
        <f>ROUND(IF(MONTH($A90)=12,2.333,1)*VLOOKUP($A90,'Página7'!$A$1:$AA$27,COLUMN(),TRUE),2)</f>
        <v>41650.92</v>
      </c>
      <c r="C90" s="48">
        <f t="shared" si="7"/>
        <v>41353.68</v>
      </c>
      <c r="D90" s="48">
        <f>ROUND(IF(MONTH($A90)=12,2.333,1)*VLOOKUP($A90,'Página7'!$A$1:$AA$27,COLUMN(),TRUE),2)</f>
        <v>33721.23</v>
      </c>
      <c r="E90" s="48">
        <f t="shared" si="2"/>
        <v>32460.95</v>
      </c>
      <c r="F90" s="48">
        <f t="shared" si="3"/>
        <v>19360.89</v>
      </c>
      <c r="G90" s="48">
        <f>ROUND(IF(MONTH($A90)=12,2.333,1)*VLOOKUP($A90,'Página7'!$A$1:$AA$27,COLUMN(),TRUE),2)</f>
        <v>29832.94</v>
      </c>
      <c r="H90" s="48">
        <f>ROUND(IF(MONTH($A90)=12,2.333,1)*VLOOKUP($A90,'Página7'!$A$1:$AA$27,COLUMN(),TRUE),2)</f>
        <v>13640.89</v>
      </c>
      <c r="I90" s="48">
        <f>ROUND(IF(MONTH($A90)=12,2.333,1)*VLOOKUP($A90,'Página7'!$A$1:$AA$27,COLUMN(),TRUE),2)</f>
        <v>26150.34</v>
      </c>
      <c r="J90" s="48">
        <f t="shared" si="8"/>
        <v>27572.67</v>
      </c>
      <c r="K90" s="48">
        <f>ROUND(IF(MONTH($A90)=12,2.333,1)*VLOOKUP($A90,'Página7'!$A$1:$AA$27,COLUMN(),TRUE),2)</f>
        <v>21493.63</v>
      </c>
      <c r="L90" s="48">
        <f t="shared" si="5"/>
        <v>21125.46</v>
      </c>
      <c r="M90" s="48">
        <f t="shared" si="6"/>
        <v>13283.68</v>
      </c>
      <c r="N90" s="48">
        <f>ROUND(IF(MONTH($A90)=12,2.333,1)*VLOOKUP($A90,'Página7'!$A$1:$AA$27,COLUMN(),TRUE),2)</f>
        <v>19210.23</v>
      </c>
      <c r="O90" s="48">
        <f>ROUND(IF(MONTH($A90)=12,2.333,1)*VLOOKUP($A90,'Página7'!$A$1:$AA$27,COLUMN(),TRUE),2)</f>
        <v>9701.45</v>
      </c>
      <c r="P90" s="48">
        <f>VLOOKUP($A90,'Página7'!$A$1:$AA$27,COLUMN(),TRUE)</f>
        <v>29761.03</v>
      </c>
      <c r="Q90" s="48">
        <f>VLOOKUP($A90,'Página7'!$A$1:$AA$27,COLUMN(),TRUE)</f>
        <v>11889.89</v>
      </c>
      <c r="R90" s="48">
        <f>VLOOKUP($A90,'Página7'!$A$1:$AA$27,COLUMN(),TRUE)</f>
        <v>29760.95</v>
      </c>
      <c r="S90" s="48">
        <f>VLOOKUP($A90,'Página7'!$A$1:$AA$27,COLUMN(),TRUE)</f>
        <v>3000</v>
      </c>
      <c r="T90" s="48">
        <f>VLOOKUP($A90,'Página7'!$A$1:$AA$27,COLUMN(),TRUE)</f>
        <v>17740.89</v>
      </c>
      <c r="U90" s="48">
        <f>VLOOKUP($A90,'Página7'!$A$1:$AA$27,COLUMN(),TRUE)</f>
        <v>1800</v>
      </c>
      <c r="V90" s="48">
        <f>VLOOKUP($A90,'Página7'!$A$1:$AA$27,COLUMN(),TRUE)</f>
        <v>19168.00275</v>
      </c>
      <c r="W90" s="48">
        <f>VLOOKUP($A90,'Página7'!$A$1:$AA$27,COLUMN(),TRUE)</f>
        <v>8620.17025</v>
      </c>
      <c r="X90" s="48">
        <f>VLOOKUP($A90,'Página7'!$A$1:$AA$27,COLUMN(),TRUE)</f>
        <v>19167.95925</v>
      </c>
      <c r="Y90" s="48">
        <f>VLOOKUP($A90,'Página7'!$A$1:$AA$27,COLUMN(),TRUE)</f>
        <v>2175</v>
      </c>
      <c r="Z90" s="48">
        <f>VLOOKUP($A90,'Página7'!$A$1:$AA$27,COLUMN(),TRUE)</f>
        <v>12109.178</v>
      </c>
      <c r="AA90" s="48">
        <f>VLOOKUP($A90,'Página7'!$A$1:$AA$27,COLUMN(),TRUE)</f>
        <v>1305</v>
      </c>
    </row>
    <row r="91">
      <c r="A91" s="34">
        <v>45078.0</v>
      </c>
      <c r="B91" s="48">
        <f>ROUND(IF(MONTH($A91)=12,2.333,1)*VLOOKUP($A91,'Página7'!$A$1:$AA$27,COLUMN(),TRUE),2)</f>
        <v>41650.92</v>
      </c>
      <c r="C91" s="48">
        <f t="shared" si="7"/>
        <v>41353.68</v>
      </c>
      <c r="D91" s="48">
        <f>ROUND(IF(MONTH($A91)=12,2.333,1)*VLOOKUP($A91,'Página7'!$A$1:$AA$27,COLUMN(),TRUE),2)</f>
        <v>33721.23</v>
      </c>
      <c r="E91" s="48">
        <f t="shared" si="2"/>
        <v>32460.95</v>
      </c>
      <c r="F91" s="48">
        <f t="shared" si="3"/>
        <v>19360.89</v>
      </c>
      <c r="G91" s="48">
        <f>ROUND(IF(MONTH($A91)=12,2.333,1)*VLOOKUP($A91,'Página7'!$A$1:$AA$27,COLUMN(),TRUE),2)</f>
        <v>29832.94</v>
      </c>
      <c r="H91" s="48">
        <f>ROUND(IF(MONTH($A91)=12,2.333,1)*VLOOKUP($A91,'Página7'!$A$1:$AA$27,COLUMN(),TRUE),2)</f>
        <v>13640.89</v>
      </c>
      <c r="I91" s="48">
        <f>ROUND(IF(MONTH($A91)=12,2.333,1)*VLOOKUP($A91,'Página7'!$A$1:$AA$27,COLUMN(),TRUE),2)</f>
        <v>26150.34</v>
      </c>
      <c r="J91" s="48">
        <f t="shared" si="8"/>
        <v>27572.67</v>
      </c>
      <c r="K91" s="48">
        <f>ROUND(IF(MONTH($A91)=12,2.333,1)*VLOOKUP($A91,'Página7'!$A$1:$AA$27,COLUMN(),TRUE),2)</f>
        <v>21493.63</v>
      </c>
      <c r="L91" s="48">
        <f t="shared" si="5"/>
        <v>21125.46</v>
      </c>
      <c r="M91" s="48">
        <f t="shared" si="6"/>
        <v>13283.68</v>
      </c>
      <c r="N91" s="48">
        <f>ROUND(IF(MONTH($A91)=12,2.333,1)*VLOOKUP($A91,'Página7'!$A$1:$AA$27,COLUMN(),TRUE),2)</f>
        <v>19210.23</v>
      </c>
      <c r="O91" s="48">
        <f>ROUND(IF(MONTH($A91)=12,2.333,1)*VLOOKUP($A91,'Página7'!$A$1:$AA$27,COLUMN(),TRUE),2)</f>
        <v>9701.45</v>
      </c>
      <c r="P91" s="48">
        <f>VLOOKUP($A91,'Página7'!$A$1:$AA$27,COLUMN(),TRUE)</f>
        <v>29761.03</v>
      </c>
      <c r="Q91" s="48">
        <f>VLOOKUP($A91,'Página7'!$A$1:$AA$27,COLUMN(),TRUE)</f>
        <v>11889.89</v>
      </c>
      <c r="R91" s="48">
        <f>VLOOKUP($A91,'Página7'!$A$1:$AA$27,COLUMN(),TRUE)</f>
        <v>29760.95</v>
      </c>
      <c r="S91" s="48">
        <f>VLOOKUP($A91,'Página7'!$A$1:$AA$27,COLUMN(),TRUE)</f>
        <v>3000</v>
      </c>
      <c r="T91" s="48">
        <f>VLOOKUP($A91,'Página7'!$A$1:$AA$27,COLUMN(),TRUE)</f>
        <v>17740.89</v>
      </c>
      <c r="U91" s="48">
        <f>VLOOKUP($A91,'Página7'!$A$1:$AA$27,COLUMN(),TRUE)</f>
        <v>1800</v>
      </c>
      <c r="V91" s="48">
        <f>VLOOKUP($A91,'Página7'!$A$1:$AA$27,COLUMN(),TRUE)</f>
        <v>19168.00275</v>
      </c>
      <c r="W91" s="48">
        <f>VLOOKUP($A91,'Página7'!$A$1:$AA$27,COLUMN(),TRUE)</f>
        <v>8620.17025</v>
      </c>
      <c r="X91" s="48">
        <f>VLOOKUP($A91,'Página7'!$A$1:$AA$27,COLUMN(),TRUE)</f>
        <v>19167.95925</v>
      </c>
      <c r="Y91" s="48">
        <f>VLOOKUP($A91,'Página7'!$A$1:$AA$27,COLUMN(),TRUE)</f>
        <v>2175</v>
      </c>
      <c r="Z91" s="48">
        <f>VLOOKUP($A91,'Página7'!$A$1:$AA$27,COLUMN(),TRUE)</f>
        <v>12109.178</v>
      </c>
      <c r="AA91" s="48">
        <f>VLOOKUP($A91,'Página7'!$A$1:$AA$27,COLUMN(),TRUE)</f>
        <v>1305</v>
      </c>
    </row>
    <row r="92">
      <c r="A92" s="34">
        <v>45108.0</v>
      </c>
      <c r="B92" s="48">
        <f>ROUND(IF(MONTH($A92)=12,2.333,1)*VLOOKUP($A92,'Página7'!$A$1:$AA$27,COLUMN(),TRUE),2)</f>
        <v>41650.92</v>
      </c>
      <c r="C92" s="48">
        <f t="shared" si="7"/>
        <v>41353.68</v>
      </c>
      <c r="D92" s="48">
        <f>ROUND(IF(MONTH($A92)=12,2.333,1)*VLOOKUP($A92,'Página7'!$A$1:$AA$27,COLUMN(),TRUE),2)</f>
        <v>33721.23</v>
      </c>
      <c r="E92" s="48">
        <f t="shared" si="2"/>
        <v>32460.95</v>
      </c>
      <c r="F92" s="48">
        <f t="shared" si="3"/>
        <v>19360.89</v>
      </c>
      <c r="G92" s="48">
        <f>ROUND(IF(MONTH($A92)=12,2.333,1)*VLOOKUP($A92,'Página7'!$A$1:$AA$27,COLUMN(),TRUE),2)</f>
        <v>29832.94</v>
      </c>
      <c r="H92" s="48">
        <f>ROUND(IF(MONTH($A92)=12,2.333,1)*VLOOKUP($A92,'Página7'!$A$1:$AA$27,COLUMN(),TRUE),2)</f>
        <v>13640.89</v>
      </c>
      <c r="I92" s="48">
        <f>ROUND(IF(MONTH($A92)=12,2.333,1)*VLOOKUP($A92,'Página7'!$A$1:$AA$27,COLUMN(),TRUE),2)</f>
        <v>26150.34</v>
      </c>
      <c r="J92" s="48">
        <f t="shared" si="8"/>
        <v>27572.67</v>
      </c>
      <c r="K92" s="48">
        <f>ROUND(IF(MONTH($A92)=12,2.333,1)*VLOOKUP($A92,'Página7'!$A$1:$AA$27,COLUMN(),TRUE),2)</f>
        <v>21493.63</v>
      </c>
      <c r="L92" s="48">
        <f t="shared" si="5"/>
        <v>21125.46</v>
      </c>
      <c r="M92" s="48">
        <f t="shared" si="6"/>
        <v>13283.68</v>
      </c>
      <c r="N92" s="48">
        <f>ROUND(IF(MONTH($A92)=12,2.333,1)*VLOOKUP($A92,'Página7'!$A$1:$AA$27,COLUMN(),TRUE),2)</f>
        <v>19210.23</v>
      </c>
      <c r="O92" s="48">
        <f>ROUND(IF(MONTH($A92)=12,2.333,1)*VLOOKUP($A92,'Página7'!$A$1:$AA$27,COLUMN(),TRUE),2)</f>
        <v>9701.45</v>
      </c>
      <c r="P92" s="48">
        <f>VLOOKUP($A92,'Página7'!$A$1:$AA$27,COLUMN(),TRUE)</f>
        <v>29761.03</v>
      </c>
      <c r="Q92" s="48">
        <f>VLOOKUP($A92,'Página7'!$A$1:$AA$27,COLUMN(),TRUE)</f>
        <v>11889.89</v>
      </c>
      <c r="R92" s="48">
        <f>VLOOKUP($A92,'Página7'!$A$1:$AA$27,COLUMN(),TRUE)</f>
        <v>29760.95</v>
      </c>
      <c r="S92" s="48">
        <f>VLOOKUP($A92,'Página7'!$A$1:$AA$27,COLUMN(),TRUE)</f>
        <v>3000</v>
      </c>
      <c r="T92" s="48">
        <f>VLOOKUP($A92,'Página7'!$A$1:$AA$27,COLUMN(),TRUE)</f>
        <v>17740.89</v>
      </c>
      <c r="U92" s="48">
        <f>VLOOKUP($A92,'Página7'!$A$1:$AA$27,COLUMN(),TRUE)</f>
        <v>1800</v>
      </c>
      <c r="V92" s="48">
        <f>VLOOKUP($A92,'Página7'!$A$1:$AA$27,COLUMN(),TRUE)</f>
        <v>19168.00275</v>
      </c>
      <c r="W92" s="48">
        <f>VLOOKUP($A92,'Página7'!$A$1:$AA$27,COLUMN(),TRUE)</f>
        <v>8620.17025</v>
      </c>
      <c r="X92" s="48">
        <f>VLOOKUP($A92,'Página7'!$A$1:$AA$27,COLUMN(),TRUE)</f>
        <v>19167.95925</v>
      </c>
      <c r="Y92" s="48">
        <f>VLOOKUP($A92,'Página7'!$A$1:$AA$27,COLUMN(),TRUE)</f>
        <v>2175</v>
      </c>
      <c r="Z92" s="48">
        <f>VLOOKUP($A92,'Página7'!$A$1:$AA$27,COLUMN(),TRUE)</f>
        <v>12109.178</v>
      </c>
      <c r="AA92" s="48">
        <f>VLOOKUP($A92,'Página7'!$A$1:$AA$27,COLUMN(),TRUE)</f>
        <v>1305</v>
      </c>
    </row>
    <row r="93">
      <c r="A93" s="34">
        <v>45139.0</v>
      </c>
      <c r="B93" s="48">
        <f>ROUND(IF(MONTH($A93)=12,2.333,1)*VLOOKUP($A93,'Página7'!$A$1:$AA$27,COLUMN(),TRUE),2)</f>
        <v>41650.92</v>
      </c>
      <c r="C93" s="48">
        <f t="shared" si="7"/>
        <v>41353.68</v>
      </c>
      <c r="D93" s="48">
        <f>ROUND(IF(MONTH($A93)=12,2.333,1)*VLOOKUP($A93,'Página7'!$A$1:$AA$27,COLUMN(),TRUE),2)</f>
        <v>33721.23</v>
      </c>
      <c r="E93" s="48">
        <f t="shared" si="2"/>
        <v>32460.95</v>
      </c>
      <c r="F93" s="48">
        <f t="shared" si="3"/>
        <v>19360.89</v>
      </c>
      <c r="G93" s="48">
        <f>ROUND(IF(MONTH($A93)=12,2.333,1)*VLOOKUP($A93,'Página7'!$A$1:$AA$27,COLUMN(),TRUE),2)</f>
        <v>29832.94</v>
      </c>
      <c r="H93" s="48">
        <f>ROUND(IF(MONTH($A93)=12,2.333,1)*VLOOKUP($A93,'Página7'!$A$1:$AA$27,COLUMN(),TRUE),2)</f>
        <v>13640.89</v>
      </c>
      <c r="I93" s="48">
        <f>ROUND(IF(MONTH($A93)=12,2.333,1)*VLOOKUP($A93,'Página7'!$A$1:$AA$27,COLUMN(),TRUE),2)</f>
        <v>26150.34</v>
      </c>
      <c r="J93" s="48">
        <f t="shared" si="8"/>
        <v>27572.67</v>
      </c>
      <c r="K93" s="48">
        <f>ROUND(IF(MONTH($A93)=12,2.333,1)*VLOOKUP($A93,'Página7'!$A$1:$AA$27,COLUMN(),TRUE),2)</f>
        <v>21493.63</v>
      </c>
      <c r="L93" s="48">
        <f t="shared" si="5"/>
        <v>21125.46</v>
      </c>
      <c r="M93" s="48">
        <f t="shared" si="6"/>
        <v>13283.68</v>
      </c>
      <c r="N93" s="48">
        <f>ROUND(IF(MONTH($A93)=12,2.333,1)*VLOOKUP($A93,'Página7'!$A$1:$AA$27,COLUMN(),TRUE),2)</f>
        <v>19210.23</v>
      </c>
      <c r="O93" s="48">
        <f>ROUND(IF(MONTH($A93)=12,2.333,1)*VLOOKUP($A93,'Página7'!$A$1:$AA$27,COLUMN(),TRUE),2)</f>
        <v>9701.45</v>
      </c>
      <c r="P93" s="48">
        <f>VLOOKUP($A93,'Página7'!$A$1:$AA$27,COLUMN(),TRUE)</f>
        <v>29761.03</v>
      </c>
      <c r="Q93" s="48">
        <f>VLOOKUP($A93,'Página7'!$A$1:$AA$27,COLUMN(),TRUE)</f>
        <v>11889.89</v>
      </c>
      <c r="R93" s="48">
        <f>VLOOKUP($A93,'Página7'!$A$1:$AA$27,COLUMN(),TRUE)</f>
        <v>29760.95</v>
      </c>
      <c r="S93" s="48">
        <f>VLOOKUP($A93,'Página7'!$A$1:$AA$27,COLUMN(),TRUE)</f>
        <v>3000</v>
      </c>
      <c r="T93" s="48">
        <f>VLOOKUP($A93,'Página7'!$A$1:$AA$27,COLUMN(),TRUE)</f>
        <v>17740.89</v>
      </c>
      <c r="U93" s="48">
        <f>VLOOKUP($A93,'Página7'!$A$1:$AA$27,COLUMN(),TRUE)</f>
        <v>1800</v>
      </c>
      <c r="V93" s="48">
        <f>VLOOKUP($A93,'Página7'!$A$1:$AA$27,COLUMN(),TRUE)</f>
        <v>19168.00275</v>
      </c>
      <c r="W93" s="48">
        <f>VLOOKUP($A93,'Página7'!$A$1:$AA$27,COLUMN(),TRUE)</f>
        <v>8620.17025</v>
      </c>
      <c r="X93" s="48">
        <f>VLOOKUP($A93,'Página7'!$A$1:$AA$27,COLUMN(),TRUE)</f>
        <v>19167.95925</v>
      </c>
      <c r="Y93" s="48">
        <f>VLOOKUP($A93,'Página7'!$A$1:$AA$27,COLUMN(),TRUE)</f>
        <v>2175</v>
      </c>
      <c r="Z93" s="48">
        <f>VLOOKUP($A93,'Página7'!$A$1:$AA$27,COLUMN(),TRUE)</f>
        <v>12109.178</v>
      </c>
      <c r="AA93" s="48">
        <f>VLOOKUP($A93,'Página7'!$A$1:$AA$27,COLUMN(),TRUE)</f>
        <v>1305</v>
      </c>
    </row>
    <row r="94">
      <c r="A94" s="34">
        <v>45170.0</v>
      </c>
      <c r="B94" s="48">
        <f>ROUND(IF(MONTH($A94)=12,2.333,1)*VLOOKUP($A94,'Página7'!$A$1:$AA$27,COLUMN(),TRUE),2)</f>
        <v>41650.92</v>
      </c>
      <c r="C94" s="48">
        <f t="shared" si="7"/>
        <v>41353.68</v>
      </c>
      <c r="D94" s="48">
        <f>ROUND(IF(MONTH($A94)=12,2.333,1)*VLOOKUP($A94,'Página7'!$A$1:$AA$27,COLUMN(),TRUE),2)</f>
        <v>33721.23</v>
      </c>
      <c r="E94" s="48">
        <f t="shared" si="2"/>
        <v>32460.95</v>
      </c>
      <c r="F94" s="48">
        <f t="shared" si="3"/>
        <v>19360.89</v>
      </c>
      <c r="G94" s="48">
        <f>ROUND(IF(MONTH($A94)=12,2.333,1)*VLOOKUP($A94,'Página7'!$A$1:$AA$27,COLUMN(),TRUE),2)</f>
        <v>29832.94</v>
      </c>
      <c r="H94" s="48">
        <f>ROUND(IF(MONTH($A94)=12,2.333,1)*VLOOKUP($A94,'Página7'!$A$1:$AA$27,COLUMN(),TRUE),2)</f>
        <v>13640.89</v>
      </c>
      <c r="I94" s="48">
        <f>ROUND(IF(MONTH($A94)=12,2.333,1)*VLOOKUP($A94,'Página7'!$A$1:$AA$27,COLUMN(),TRUE),2)</f>
        <v>26150.34</v>
      </c>
      <c r="J94" s="48">
        <f t="shared" si="8"/>
        <v>27572.67</v>
      </c>
      <c r="K94" s="48">
        <f>ROUND(IF(MONTH($A94)=12,2.333,1)*VLOOKUP($A94,'Página7'!$A$1:$AA$27,COLUMN(),TRUE),2)</f>
        <v>21493.63</v>
      </c>
      <c r="L94" s="48">
        <f t="shared" si="5"/>
        <v>21125.46</v>
      </c>
      <c r="M94" s="48">
        <f t="shared" si="6"/>
        <v>13283.68</v>
      </c>
      <c r="N94" s="48">
        <f>ROUND(IF(MONTH($A94)=12,2.333,1)*VLOOKUP($A94,'Página7'!$A$1:$AA$27,COLUMN(),TRUE),2)</f>
        <v>19210.23</v>
      </c>
      <c r="O94" s="48">
        <f>ROUND(IF(MONTH($A94)=12,2.333,1)*VLOOKUP($A94,'Página7'!$A$1:$AA$27,COLUMN(),TRUE),2)</f>
        <v>9701.45</v>
      </c>
      <c r="P94" s="48">
        <f>VLOOKUP($A94,'Página7'!$A$1:$AA$27,COLUMN(),TRUE)</f>
        <v>29761.03</v>
      </c>
      <c r="Q94" s="48">
        <f>VLOOKUP($A94,'Página7'!$A$1:$AA$27,COLUMN(),TRUE)</f>
        <v>11889.89</v>
      </c>
      <c r="R94" s="48">
        <f>VLOOKUP($A94,'Página7'!$A$1:$AA$27,COLUMN(),TRUE)</f>
        <v>29760.95</v>
      </c>
      <c r="S94" s="48">
        <f>VLOOKUP($A94,'Página7'!$A$1:$AA$27,COLUMN(),TRUE)</f>
        <v>3000</v>
      </c>
      <c r="T94" s="48">
        <f>VLOOKUP($A94,'Página7'!$A$1:$AA$27,COLUMN(),TRUE)</f>
        <v>17740.89</v>
      </c>
      <c r="U94" s="48">
        <f>VLOOKUP($A94,'Página7'!$A$1:$AA$27,COLUMN(),TRUE)</f>
        <v>1800</v>
      </c>
      <c r="V94" s="48">
        <f>VLOOKUP($A94,'Página7'!$A$1:$AA$27,COLUMN(),TRUE)</f>
        <v>19168.00275</v>
      </c>
      <c r="W94" s="48">
        <f>VLOOKUP($A94,'Página7'!$A$1:$AA$27,COLUMN(),TRUE)</f>
        <v>8620.17025</v>
      </c>
      <c r="X94" s="48">
        <f>VLOOKUP($A94,'Página7'!$A$1:$AA$27,COLUMN(),TRUE)</f>
        <v>19167.95925</v>
      </c>
      <c r="Y94" s="48">
        <f>VLOOKUP($A94,'Página7'!$A$1:$AA$27,COLUMN(),TRUE)</f>
        <v>2175</v>
      </c>
      <c r="Z94" s="48">
        <f>VLOOKUP($A94,'Página7'!$A$1:$AA$27,COLUMN(),TRUE)</f>
        <v>12109.178</v>
      </c>
      <c r="AA94" s="48">
        <f>VLOOKUP($A94,'Página7'!$A$1:$AA$27,COLUMN(),TRUE)</f>
        <v>1305</v>
      </c>
    </row>
    <row r="95">
      <c r="A95" s="34">
        <v>45200.0</v>
      </c>
      <c r="B95" s="48">
        <f>ROUND(IF(MONTH($A95)=12,2.333,1)*VLOOKUP($A95,'Página7'!$A$1:$AA$27,COLUMN(),TRUE),2)</f>
        <v>41650.92</v>
      </c>
      <c r="C95" s="48">
        <f t="shared" si="7"/>
        <v>41353.68</v>
      </c>
      <c r="D95" s="48">
        <f>ROUND(IF(MONTH($A95)=12,2.333,1)*VLOOKUP($A95,'Página7'!$A$1:$AA$27,COLUMN(),TRUE),2)</f>
        <v>33721.23</v>
      </c>
      <c r="E95" s="48">
        <f t="shared" si="2"/>
        <v>32460.95</v>
      </c>
      <c r="F95" s="48">
        <f t="shared" si="3"/>
        <v>19360.89</v>
      </c>
      <c r="G95" s="48">
        <f>ROUND(IF(MONTH($A95)=12,2.333,1)*VLOOKUP($A95,'Página7'!$A$1:$AA$27,COLUMN(),TRUE),2)</f>
        <v>29832.94</v>
      </c>
      <c r="H95" s="48">
        <f>ROUND(IF(MONTH($A95)=12,2.333,1)*VLOOKUP($A95,'Página7'!$A$1:$AA$27,COLUMN(),TRUE),2)</f>
        <v>13640.89</v>
      </c>
      <c r="I95" s="48">
        <f>ROUND(IF(MONTH($A95)=12,2.333,1)*VLOOKUP($A95,'Página7'!$A$1:$AA$27,COLUMN(),TRUE),2)</f>
        <v>26150.34</v>
      </c>
      <c r="J95" s="48">
        <f t="shared" si="8"/>
        <v>27572.67</v>
      </c>
      <c r="K95" s="48">
        <f>ROUND(IF(MONTH($A95)=12,2.333,1)*VLOOKUP($A95,'Página7'!$A$1:$AA$27,COLUMN(),TRUE),2)</f>
        <v>21493.63</v>
      </c>
      <c r="L95" s="48">
        <f t="shared" si="5"/>
        <v>21125.46</v>
      </c>
      <c r="M95" s="48">
        <f t="shared" si="6"/>
        <v>13283.68</v>
      </c>
      <c r="N95" s="48">
        <f>ROUND(IF(MONTH($A95)=12,2.333,1)*VLOOKUP($A95,'Página7'!$A$1:$AA$27,COLUMN(),TRUE),2)</f>
        <v>19210.23</v>
      </c>
      <c r="O95" s="48">
        <f>ROUND(IF(MONTH($A95)=12,2.333,1)*VLOOKUP($A95,'Página7'!$A$1:$AA$27,COLUMN(),TRUE),2)</f>
        <v>9701.45</v>
      </c>
      <c r="P95" s="48">
        <f>VLOOKUP($A95,'Página7'!$A$1:$AA$27,COLUMN(),TRUE)</f>
        <v>29761.03</v>
      </c>
      <c r="Q95" s="48">
        <f>VLOOKUP($A95,'Página7'!$A$1:$AA$27,COLUMN(),TRUE)</f>
        <v>11889.89</v>
      </c>
      <c r="R95" s="48">
        <f>VLOOKUP($A95,'Página7'!$A$1:$AA$27,COLUMN(),TRUE)</f>
        <v>29760.95</v>
      </c>
      <c r="S95" s="48">
        <f>VLOOKUP($A95,'Página7'!$A$1:$AA$27,COLUMN(),TRUE)</f>
        <v>3000</v>
      </c>
      <c r="T95" s="48">
        <f>VLOOKUP($A95,'Página7'!$A$1:$AA$27,COLUMN(),TRUE)</f>
        <v>17740.89</v>
      </c>
      <c r="U95" s="48">
        <f>VLOOKUP($A95,'Página7'!$A$1:$AA$27,COLUMN(),TRUE)</f>
        <v>1800</v>
      </c>
      <c r="V95" s="48">
        <f>VLOOKUP($A95,'Página7'!$A$1:$AA$27,COLUMN(),TRUE)</f>
        <v>19168.00275</v>
      </c>
      <c r="W95" s="48">
        <f>VLOOKUP($A95,'Página7'!$A$1:$AA$27,COLUMN(),TRUE)</f>
        <v>8620.17025</v>
      </c>
      <c r="X95" s="48">
        <f>VLOOKUP($A95,'Página7'!$A$1:$AA$27,COLUMN(),TRUE)</f>
        <v>19167.95925</v>
      </c>
      <c r="Y95" s="48">
        <f>VLOOKUP($A95,'Página7'!$A$1:$AA$27,COLUMN(),TRUE)</f>
        <v>2175</v>
      </c>
      <c r="Z95" s="48">
        <f>VLOOKUP($A95,'Página7'!$A$1:$AA$27,COLUMN(),TRUE)</f>
        <v>12109.178</v>
      </c>
      <c r="AA95" s="48">
        <f>VLOOKUP($A95,'Página7'!$A$1:$AA$27,COLUMN(),TRUE)</f>
        <v>1305</v>
      </c>
    </row>
    <row r="96">
      <c r="A96" s="34">
        <v>45231.0</v>
      </c>
      <c r="B96" s="48">
        <f>ROUND(IF(MONTH($A96)=12,2.333,1)*VLOOKUP($A96,'Página7'!$A$1:$AA$27,COLUMN(),TRUE),2)</f>
        <v>41650.92</v>
      </c>
      <c r="C96" s="48">
        <f t="shared" si="7"/>
        <v>41353.68</v>
      </c>
      <c r="D96" s="48">
        <f>ROUND(IF(MONTH($A96)=12,2.333,1)*VLOOKUP($A96,'Página7'!$A$1:$AA$27,COLUMN(),TRUE),2)</f>
        <v>33721.23</v>
      </c>
      <c r="E96" s="48">
        <f t="shared" si="2"/>
        <v>32460.95</v>
      </c>
      <c r="F96" s="48">
        <f t="shared" si="3"/>
        <v>19360.89</v>
      </c>
      <c r="G96" s="48">
        <f>ROUND(IF(MONTH($A96)=12,2.333,1)*VLOOKUP($A96,'Página7'!$A$1:$AA$27,COLUMN(),TRUE),2)</f>
        <v>29832.94</v>
      </c>
      <c r="H96" s="48">
        <f>ROUND(IF(MONTH($A96)=12,2.333,1)*VLOOKUP($A96,'Página7'!$A$1:$AA$27,COLUMN(),TRUE),2)</f>
        <v>13640.89</v>
      </c>
      <c r="I96" s="48">
        <f>ROUND(IF(MONTH($A96)=12,2.333,1)*VLOOKUP($A96,'Página7'!$A$1:$AA$27,COLUMN(),TRUE),2)</f>
        <v>26150.34</v>
      </c>
      <c r="J96" s="48">
        <f t="shared" si="8"/>
        <v>27572.67</v>
      </c>
      <c r="K96" s="48">
        <f>ROUND(IF(MONTH($A96)=12,2.333,1)*VLOOKUP($A96,'Página7'!$A$1:$AA$27,COLUMN(),TRUE),2)</f>
        <v>21493.63</v>
      </c>
      <c r="L96" s="48">
        <f t="shared" si="5"/>
        <v>21125.46</v>
      </c>
      <c r="M96" s="48">
        <f t="shared" si="6"/>
        <v>13283.68</v>
      </c>
      <c r="N96" s="48">
        <f>ROUND(IF(MONTH($A96)=12,2.333,1)*VLOOKUP($A96,'Página7'!$A$1:$AA$27,COLUMN(),TRUE),2)</f>
        <v>19210.23</v>
      </c>
      <c r="O96" s="48">
        <f>ROUND(IF(MONTH($A96)=12,2.333,1)*VLOOKUP($A96,'Página7'!$A$1:$AA$27,COLUMN(),TRUE),2)</f>
        <v>9701.45</v>
      </c>
      <c r="P96" s="48">
        <f>VLOOKUP($A96,'Página7'!$A$1:$AA$27,COLUMN(),TRUE)</f>
        <v>29761.03</v>
      </c>
      <c r="Q96" s="48">
        <f>VLOOKUP($A96,'Página7'!$A$1:$AA$27,COLUMN(),TRUE)</f>
        <v>11889.89</v>
      </c>
      <c r="R96" s="48">
        <f>VLOOKUP($A96,'Página7'!$A$1:$AA$27,COLUMN(),TRUE)</f>
        <v>29760.95</v>
      </c>
      <c r="S96" s="48">
        <f>VLOOKUP($A96,'Página7'!$A$1:$AA$27,COLUMN(),TRUE)</f>
        <v>3000</v>
      </c>
      <c r="T96" s="48">
        <f>VLOOKUP($A96,'Página7'!$A$1:$AA$27,COLUMN(),TRUE)</f>
        <v>17740.89</v>
      </c>
      <c r="U96" s="48">
        <f>VLOOKUP($A96,'Página7'!$A$1:$AA$27,COLUMN(),TRUE)</f>
        <v>1800</v>
      </c>
      <c r="V96" s="48">
        <f>VLOOKUP($A96,'Página7'!$A$1:$AA$27,COLUMN(),TRUE)</f>
        <v>19168.00275</v>
      </c>
      <c r="W96" s="48">
        <f>VLOOKUP($A96,'Página7'!$A$1:$AA$27,COLUMN(),TRUE)</f>
        <v>8620.17025</v>
      </c>
      <c r="X96" s="48">
        <f>VLOOKUP($A96,'Página7'!$A$1:$AA$27,COLUMN(),TRUE)</f>
        <v>19167.95925</v>
      </c>
      <c r="Y96" s="48">
        <f>VLOOKUP($A96,'Página7'!$A$1:$AA$27,COLUMN(),TRUE)</f>
        <v>2175</v>
      </c>
      <c r="Z96" s="48">
        <f>VLOOKUP($A96,'Página7'!$A$1:$AA$27,COLUMN(),TRUE)</f>
        <v>12109.178</v>
      </c>
      <c r="AA96" s="48">
        <f>VLOOKUP($A96,'Página7'!$A$1:$AA$27,COLUMN(),TRUE)</f>
        <v>1305</v>
      </c>
    </row>
    <row r="97">
      <c r="A97" s="34">
        <v>45261.0</v>
      </c>
      <c r="B97" s="48">
        <f>ROUND(IF(MONTH($A97)=12,2.333,1)*VLOOKUP($A97,'Página7'!$A$1:$AA$27,COLUMN(),TRUE),2)</f>
        <v>97171.6</v>
      </c>
      <c r="C97" s="48">
        <f t="shared" si="7"/>
        <v>96478.14</v>
      </c>
      <c r="D97" s="48">
        <f>ROUND(IF(MONTH($A97)=12,2.333,1)*VLOOKUP($A97,'Página7'!$A$1:$AA$27,COLUMN(),TRUE),2)</f>
        <v>78671.63</v>
      </c>
      <c r="E97" s="48">
        <f t="shared" si="2"/>
        <v>75731.4</v>
      </c>
      <c r="F97" s="48">
        <f t="shared" si="3"/>
        <v>45168.96</v>
      </c>
      <c r="G97" s="48">
        <f>ROUND(IF(MONTH($A97)=12,2.333,1)*VLOOKUP($A97,'Página7'!$A$1:$AA$27,COLUMN(),TRUE),2)</f>
        <v>69600.25</v>
      </c>
      <c r="H97" s="48">
        <f>ROUND(IF(MONTH($A97)=12,2.333,1)*VLOOKUP($A97,'Página7'!$A$1:$AA$27,COLUMN(),TRUE),2)</f>
        <v>31824.2</v>
      </c>
      <c r="I97" s="48">
        <f>ROUND(IF(MONTH($A97)=12,2.333,1)*VLOOKUP($A97,'Página7'!$A$1:$AA$27,COLUMN(),TRUE),2)</f>
        <v>61008.74</v>
      </c>
      <c r="J97" s="48">
        <f t="shared" si="8"/>
        <v>64327.05</v>
      </c>
      <c r="K97" s="48">
        <f>ROUND(IF(MONTH($A97)=12,2.333,1)*VLOOKUP($A97,'Página7'!$A$1:$AA$27,COLUMN(),TRUE),2)</f>
        <v>50144.64</v>
      </c>
      <c r="L97" s="48">
        <f t="shared" si="5"/>
        <v>49285.7</v>
      </c>
      <c r="M97" s="48">
        <f t="shared" si="6"/>
        <v>30990.82</v>
      </c>
      <c r="N97" s="48">
        <f>ROUND(IF(MONTH($A97)=12,2.333,1)*VLOOKUP($A97,'Página7'!$A$1:$AA$27,COLUMN(),TRUE),2)</f>
        <v>44817.48</v>
      </c>
      <c r="O97" s="48">
        <f>ROUND(IF(MONTH($A97)=12,2.333,1)*VLOOKUP($A97,'Página7'!$A$1:$AA$27,COLUMN(),TRUE),2)</f>
        <v>22633.49</v>
      </c>
      <c r="P97" s="48">
        <f>VLOOKUP($A97,'Página7'!$A$1:$AA$27,COLUMN(),TRUE)</f>
        <v>29761.03</v>
      </c>
      <c r="Q97" s="48">
        <f>VLOOKUP($A97,'Página7'!$A$1:$AA$27,COLUMN(),TRUE)</f>
        <v>11889.89</v>
      </c>
      <c r="R97" s="48">
        <f>VLOOKUP($A97,'Página7'!$A$1:$AA$27,COLUMN(),TRUE)</f>
        <v>29760.95</v>
      </c>
      <c r="S97" s="48">
        <f>VLOOKUP($A97,'Página7'!$A$1:$AA$27,COLUMN(),TRUE)</f>
        <v>3000</v>
      </c>
      <c r="T97" s="48">
        <f>VLOOKUP($A97,'Página7'!$A$1:$AA$27,COLUMN(),TRUE)</f>
        <v>17740.89</v>
      </c>
      <c r="U97" s="48">
        <f>VLOOKUP($A97,'Página7'!$A$1:$AA$27,COLUMN(),TRUE)</f>
        <v>1800</v>
      </c>
      <c r="V97" s="48">
        <f>VLOOKUP($A97,'Página7'!$A$1:$AA$27,COLUMN(),TRUE)</f>
        <v>19168.00275</v>
      </c>
      <c r="W97" s="48">
        <f>VLOOKUP($A97,'Página7'!$A$1:$AA$27,COLUMN(),TRUE)</f>
        <v>8620.17025</v>
      </c>
      <c r="X97" s="48">
        <f>VLOOKUP($A97,'Página7'!$A$1:$AA$27,COLUMN(),TRUE)</f>
        <v>19167.95925</v>
      </c>
      <c r="Y97" s="48">
        <f>VLOOKUP($A97,'Página7'!$A$1:$AA$27,COLUMN(),TRUE)</f>
        <v>2175</v>
      </c>
      <c r="Z97" s="48">
        <f>VLOOKUP($A97,'Página7'!$A$1:$AA$27,COLUMN(),TRUE)</f>
        <v>12109.178</v>
      </c>
      <c r="AA97" s="48">
        <f>VLOOKUP($A97,'Página7'!$A$1:$AA$27,COLUMN(),TRUE)</f>
        <v>1305</v>
      </c>
    </row>
    <row r="98">
      <c r="A98" s="34">
        <v>45292.0</v>
      </c>
      <c r="B98" s="48">
        <f>ROUND(IF(MONTH($A98)=12,2.333,1)*VLOOKUP($A98,'Página7'!$A$1:$AA$27,COLUMN(),TRUE),2)</f>
        <v>41650.92</v>
      </c>
      <c r="C98" s="48">
        <f t="shared" si="7"/>
        <v>41353.68</v>
      </c>
      <c r="D98" s="48">
        <f>ROUND(IF(MONTH($A98)=12,2.333,1)*VLOOKUP($A98,'Página7'!$A$1:$AA$27,COLUMN(),TRUE),2)</f>
        <v>33721.23</v>
      </c>
      <c r="E98" s="48">
        <f t="shared" si="2"/>
        <v>32460.95</v>
      </c>
      <c r="F98" s="48">
        <f t="shared" si="3"/>
        <v>19360.89</v>
      </c>
      <c r="G98" s="48">
        <f>ROUND(IF(MONTH($A98)=12,2.333,1)*VLOOKUP($A98,'Página7'!$A$1:$AA$27,COLUMN(),TRUE),2)</f>
        <v>29832.94</v>
      </c>
      <c r="H98" s="48">
        <f>ROUND(IF(MONTH($A98)=12,2.333,1)*VLOOKUP($A98,'Página7'!$A$1:$AA$27,COLUMN(),TRUE),2)</f>
        <v>13640.89</v>
      </c>
      <c r="I98" s="48">
        <f>ROUND(IF(MONTH($A98)=12,2.333,1)*VLOOKUP($A98,'Página7'!$A$1:$AA$27,COLUMN(),TRUE),2)</f>
        <v>26180.73</v>
      </c>
      <c r="J98" s="48">
        <f t="shared" si="8"/>
        <v>27603.06</v>
      </c>
      <c r="K98" s="48">
        <f>ROUND(IF(MONTH($A98)=12,2.333,1)*VLOOKUP($A98,'Página7'!$A$1:$AA$27,COLUMN(),TRUE),2)</f>
        <v>21524.02</v>
      </c>
      <c r="L98" s="48">
        <f t="shared" si="5"/>
        <v>21155.85</v>
      </c>
      <c r="M98" s="48">
        <f t="shared" si="6"/>
        <v>13314.07</v>
      </c>
      <c r="N98" s="48">
        <f>ROUND(IF(MONTH($A98)=12,2.333,1)*VLOOKUP($A98,'Página7'!$A$1:$AA$27,COLUMN(),TRUE),2)</f>
        <v>19240.63</v>
      </c>
      <c r="O98" s="48">
        <f>ROUND(IF(MONTH($A98)=12,2.333,1)*VLOOKUP($A98,'Página7'!$A$1:$AA$27,COLUMN(),TRUE),2)</f>
        <v>9731.85</v>
      </c>
      <c r="P98" s="48">
        <f>VLOOKUP($A98,'Página7'!$A$1:$AA$27,COLUMN(),TRUE)</f>
        <v>29761.03</v>
      </c>
      <c r="Q98" s="48">
        <f>VLOOKUP($A98,'Página7'!$A$1:$AA$27,COLUMN(),TRUE)</f>
        <v>11889.89</v>
      </c>
      <c r="R98" s="48">
        <f>VLOOKUP($A98,'Página7'!$A$1:$AA$27,COLUMN(),TRUE)</f>
        <v>29760.95</v>
      </c>
      <c r="S98" s="48">
        <f>VLOOKUP($A98,'Página7'!$A$1:$AA$27,COLUMN(),TRUE)</f>
        <v>3000</v>
      </c>
      <c r="T98" s="48">
        <f>VLOOKUP($A98,'Página7'!$A$1:$AA$27,COLUMN(),TRUE)</f>
        <v>17740.89</v>
      </c>
      <c r="U98" s="48">
        <f>VLOOKUP($A98,'Página7'!$A$1:$AA$27,COLUMN(),TRUE)</f>
        <v>1800</v>
      </c>
      <c r="V98" s="48">
        <f>VLOOKUP($A98,'Página7'!$A$1:$AA$27,COLUMN(),TRUE)</f>
        <v>19198.39475</v>
      </c>
      <c r="W98" s="48">
        <f>VLOOKUP($A98,'Página7'!$A$1:$AA$27,COLUMN(),TRUE)</f>
        <v>8620.17025</v>
      </c>
      <c r="X98" s="48">
        <f>VLOOKUP($A98,'Página7'!$A$1:$AA$27,COLUMN(),TRUE)</f>
        <v>19198.35125</v>
      </c>
      <c r="Y98" s="48">
        <f>VLOOKUP($A98,'Página7'!$A$1:$AA$27,COLUMN(),TRUE)</f>
        <v>2175</v>
      </c>
      <c r="Z98" s="48">
        <f>VLOOKUP($A98,'Página7'!$A$1:$AA$27,COLUMN(),TRUE)</f>
        <v>12139.57</v>
      </c>
      <c r="AA98" s="48">
        <f>VLOOKUP($A98,'Página7'!$A$1:$AA$27,COLUMN(),TRUE)</f>
        <v>1305</v>
      </c>
    </row>
    <row r="99">
      <c r="A99" s="34">
        <v>45323.0</v>
      </c>
      <c r="B99" s="48">
        <f>ROUND(IF(MONTH($A99)=12,2.333,1)*VLOOKUP($A99,'Página7'!$A$1:$AA$27,COLUMN(),TRUE),2)</f>
        <v>44008.52</v>
      </c>
      <c r="C99" s="48">
        <f t="shared" si="7"/>
        <v>43652.34</v>
      </c>
      <c r="D99" s="48">
        <f>ROUND(IF(MONTH($A99)=12,2.333,1)*VLOOKUP($A99,'Página7'!$A$1:$AA$27,COLUMN(),TRUE),2)</f>
        <v>33721.23</v>
      </c>
      <c r="E99" s="48">
        <f t="shared" si="2"/>
        <v>33810.95</v>
      </c>
      <c r="F99" s="48">
        <f t="shared" si="3"/>
        <v>20170.89</v>
      </c>
      <c r="G99" s="48">
        <f>ROUND(IF(MONTH($A99)=12,2.333,1)*VLOOKUP($A99,'Página7'!$A$1:$AA$27,COLUMN(),TRUE),2)</f>
        <v>29832.94</v>
      </c>
      <c r="H99" s="48">
        <f>ROUND(IF(MONTH($A99)=12,2.333,1)*VLOOKUP($A99,'Página7'!$A$1:$AA$27,COLUMN(),TRUE),2)</f>
        <v>13640.89</v>
      </c>
      <c r="I99" s="48">
        <f>ROUND(IF(MONTH($A99)=12,2.333,1)*VLOOKUP($A99,'Página7'!$A$1:$AA$27,COLUMN(),TRUE),2)</f>
        <v>27576.28</v>
      </c>
      <c r="J99" s="48">
        <f t="shared" si="8"/>
        <v>29280.63</v>
      </c>
      <c r="K99" s="48">
        <f>ROUND(IF(MONTH($A99)=12,2.333,1)*VLOOKUP($A99,'Página7'!$A$1:$AA$27,COLUMN(),TRUE),2)</f>
        <v>21535.06</v>
      </c>
      <c r="L99" s="48">
        <f t="shared" si="5"/>
        <v>22145.64</v>
      </c>
      <c r="M99" s="48">
        <f t="shared" si="6"/>
        <v>13912.36</v>
      </c>
      <c r="N99" s="48">
        <f>ROUND(IF(MONTH($A99)=12,2.333,1)*VLOOKUP($A99,'Página7'!$A$1:$AA$27,COLUMN(),TRUE),2)</f>
        <v>19251.67</v>
      </c>
      <c r="O99" s="48">
        <f>ROUND(IF(MONTH($A99)=12,2.333,1)*VLOOKUP($A99,'Página7'!$A$1:$AA$27,COLUMN(),TRUE),2)</f>
        <v>9742.89</v>
      </c>
      <c r="P99" s="48">
        <f>VLOOKUP($A99,'Página7'!$A$1:$AA$27,COLUMN(),TRUE)</f>
        <v>29761.03</v>
      </c>
      <c r="Q99" s="48">
        <f>VLOOKUP($A99,'Página7'!$A$1:$AA$27,COLUMN(),TRUE)</f>
        <v>14247.49</v>
      </c>
      <c r="R99" s="48">
        <f>VLOOKUP($A99,'Página7'!$A$1:$AA$27,COLUMN(),TRUE)</f>
        <v>29760.95</v>
      </c>
      <c r="S99" s="48">
        <f>VLOOKUP($A99,'Página7'!$A$1:$AA$27,COLUMN(),TRUE)</f>
        <v>4500</v>
      </c>
      <c r="T99" s="48">
        <f>VLOOKUP($A99,'Página7'!$A$1:$AA$27,COLUMN(),TRUE)</f>
        <v>17740.89</v>
      </c>
      <c r="U99" s="48">
        <f>VLOOKUP($A99,'Página7'!$A$1:$AA$27,COLUMN(),TRUE)</f>
        <v>2700</v>
      </c>
      <c r="V99" s="48">
        <f>VLOOKUP($A99,'Página7'!$A$1:$AA$27,COLUMN(),TRUE)</f>
        <v>19209.43475</v>
      </c>
      <c r="W99" s="48">
        <f>VLOOKUP($A99,'Página7'!$A$1:$AA$27,COLUMN(),TRUE)</f>
        <v>10329.43025</v>
      </c>
      <c r="X99" s="48">
        <f>VLOOKUP($A99,'Página7'!$A$1:$AA$27,COLUMN(),TRUE)</f>
        <v>19209.39125</v>
      </c>
      <c r="Y99" s="48">
        <f>VLOOKUP($A99,'Página7'!$A$1:$AA$27,COLUMN(),TRUE)</f>
        <v>3262.5</v>
      </c>
      <c r="Z99" s="48">
        <f>VLOOKUP($A99,'Página7'!$A$1:$AA$27,COLUMN(),TRUE)</f>
        <v>12150.61</v>
      </c>
      <c r="AA99" s="48">
        <f>VLOOKUP($A99,'Página7'!$A$1:$AA$27,COLUMN(),TRUE)</f>
        <v>1957.5</v>
      </c>
    </row>
    <row r="100">
      <c r="A100" s="34">
        <v>45352.0</v>
      </c>
      <c r="B100" s="48">
        <f>ROUND(IF(MONTH($A100)=12,2.333,1)*VLOOKUP($A100,'Página7'!$A$1:$AA$27,COLUMN(),TRUE),2)</f>
        <v>44008.52</v>
      </c>
      <c r="C100" s="48">
        <f t="shared" si="7"/>
        <v>43652.34</v>
      </c>
      <c r="D100" s="48">
        <f>ROUND(IF(MONTH($A100)=12,2.333,1)*VLOOKUP($A100,'Página7'!$A$1:$AA$27,COLUMN(),TRUE),2)</f>
        <v>33721.23</v>
      </c>
      <c r="E100" s="48">
        <f t="shared" si="2"/>
        <v>33810.95</v>
      </c>
      <c r="F100" s="48">
        <f t="shared" si="3"/>
        <v>20170.89</v>
      </c>
      <c r="G100" s="48">
        <f>ROUND(IF(MONTH($A100)=12,2.333,1)*VLOOKUP($A100,'Página7'!$A$1:$AA$27,COLUMN(),TRUE),2)</f>
        <v>29832.94</v>
      </c>
      <c r="H100" s="48">
        <f>ROUND(IF(MONTH($A100)=12,2.333,1)*VLOOKUP($A100,'Página7'!$A$1:$AA$27,COLUMN(),TRUE),2)</f>
        <v>13640.89</v>
      </c>
      <c r="I100" s="48">
        <f>ROUND(IF(MONTH($A100)=12,2.333,1)*VLOOKUP($A100,'Página7'!$A$1:$AA$27,COLUMN(),TRUE),2)</f>
        <v>27576.28</v>
      </c>
      <c r="J100" s="48">
        <f t="shared" si="8"/>
        <v>29280.63</v>
      </c>
      <c r="K100" s="48">
        <f>ROUND(IF(MONTH($A100)=12,2.333,1)*VLOOKUP($A100,'Página7'!$A$1:$AA$27,COLUMN(),TRUE),2)</f>
        <v>21535.06</v>
      </c>
      <c r="L100" s="48">
        <f t="shared" si="5"/>
        <v>22145.64</v>
      </c>
      <c r="M100" s="48">
        <f t="shared" si="6"/>
        <v>13912.36</v>
      </c>
      <c r="N100" s="48">
        <f>ROUND(IF(MONTH($A100)=12,2.333,1)*VLOOKUP($A100,'Página7'!$A$1:$AA$27,COLUMN(),TRUE),2)</f>
        <v>19251.67</v>
      </c>
      <c r="O100" s="48">
        <f>ROUND(IF(MONTH($A100)=12,2.333,1)*VLOOKUP($A100,'Página7'!$A$1:$AA$27,COLUMN(),TRUE),2)</f>
        <v>9742.89</v>
      </c>
      <c r="P100" s="48">
        <f>VLOOKUP($A100,'Página7'!$A$1:$AA$27,COLUMN(),TRUE)</f>
        <v>29761.03</v>
      </c>
      <c r="Q100" s="48">
        <f>VLOOKUP($A100,'Página7'!$A$1:$AA$27,COLUMN(),TRUE)</f>
        <v>14247.49</v>
      </c>
      <c r="R100" s="48">
        <f>VLOOKUP($A100,'Página7'!$A$1:$AA$27,COLUMN(),TRUE)</f>
        <v>29760.95</v>
      </c>
      <c r="S100" s="48">
        <f>VLOOKUP($A100,'Página7'!$A$1:$AA$27,COLUMN(),TRUE)</f>
        <v>4500</v>
      </c>
      <c r="T100" s="48">
        <f>VLOOKUP($A100,'Página7'!$A$1:$AA$27,COLUMN(),TRUE)</f>
        <v>17740.89</v>
      </c>
      <c r="U100" s="48">
        <f>VLOOKUP($A100,'Página7'!$A$1:$AA$27,COLUMN(),TRUE)</f>
        <v>2700</v>
      </c>
      <c r="V100" s="48">
        <f>VLOOKUP($A100,'Página7'!$A$1:$AA$27,COLUMN(),TRUE)</f>
        <v>19209.43475</v>
      </c>
      <c r="W100" s="48">
        <f>VLOOKUP($A100,'Página7'!$A$1:$AA$27,COLUMN(),TRUE)</f>
        <v>10329.43025</v>
      </c>
      <c r="X100" s="48">
        <f>VLOOKUP($A100,'Página7'!$A$1:$AA$27,COLUMN(),TRUE)</f>
        <v>19209.39125</v>
      </c>
      <c r="Y100" s="48">
        <f>VLOOKUP($A100,'Página7'!$A$1:$AA$27,COLUMN(),TRUE)</f>
        <v>3262.5</v>
      </c>
      <c r="Z100" s="48">
        <f>VLOOKUP($A100,'Página7'!$A$1:$AA$27,COLUMN(),TRUE)</f>
        <v>12150.61</v>
      </c>
      <c r="AA100" s="48">
        <f>VLOOKUP($A100,'Página7'!$A$1:$AA$27,COLUMN(),TRUE)</f>
        <v>1957.5</v>
      </c>
    </row>
    <row r="101">
      <c r="A101" s="34">
        <v>45383.0</v>
      </c>
      <c r="B101" s="48">
        <f>ROUND(IF(MONTH($A101)=12,2.333,1)*VLOOKUP($A101,'Página7'!$A$1:$AA$27,COLUMN(),TRUE),2)</f>
        <v>44008.52</v>
      </c>
      <c r="C101" s="48">
        <f t="shared" si="7"/>
        <v>43652.34</v>
      </c>
      <c r="D101" s="48">
        <f>ROUND(IF(MONTH($A101)=12,2.333,1)*VLOOKUP($A101,'Página7'!$A$1:$AA$27,COLUMN(),TRUE),2)</f>
        <v>33721.23</v>
      </c>
      <c r="E101" s="48">
        <f t="shared" si="2"/>
        <v>33810.95</v>
      </c>
      <c r="F101" s="48">
        <f t="shared" si="3"/>
        <v>20170.89</v>
      </c>
      <c r="G101" s="48">
        <f>ROUND(IF(MONTH($A101)=12,2.333,1)*VLOOKUP($A101,'Página7'!$A$1:$AA$27,COLUMN(),TRUE),2)</f>
        <v>29832.94</v>
      </c>
      <c r="H101" s="48">
        <f>ROUND(IF(MONTH($A101)=12,2.333,1)*VLOOKUP($A101,'Página7'!$A$1:$AA$27,COLUMN(),TRUE),2)</f>
        <v>13640.89</v>
      </c>
      <c r="I101" s="48">
        <f>ROUND(IF(MONTH($A101)=12,2.333,1)*VLOOKUP($A101,'Página7'!$A$1:$AA$27,COLUMN(),TRUE),2)</f>
        <v>27576.28</v>
      </c>
      <c r="J101" s="48">
        <f t="shared" si="8"/>
        <v>29280.63</v>
      </c>
      <c r="K101" s="48">
        <f>ROUND(IF(MONTH($A101)=12,2.333,1)*VLOOKUP($A101,'Página7'!$A$1:$AA$27,COLUMN(),TRUE),2)</f>
        <v>21535.06</v>
      </c>
      <c r="L101" s="48">
        <f t="shared" si="5"/>
        <v>22145.64</v>
      </c>
      <c r="M101" s="48">
        <f t="shared" si="6"/>
        <v>13912.36</v>
      </c>
      <c r="N101" s="48">
        <f>ROUND(IF(MONTH($A101)=12,2.333,1)*VLOOKUP($A101,'Página7'!$A$1:$AA$27,COLUMN(),TRUE),2)</f>
        <v>19251.67</v>
      </c>
      <c r="O101" s="48">
        <f>ROUND(IF(MONTH($A101)=12,2.333,1)*VLOOKUP($A101,'Página7'!$A$1:$AA$27,COLUMN(),TRUE),2)</f>
        <v>9742.89</v>
      </c>
      <c r="P101" s="48">
        <f>VLOOKUP($A101,'Página7'!$A$1:$AA$27,COLUMN(),TRUE)</f>
        <v>29761.03</v>
      </c>
      <c r="Q101" s="48">
        <f>VLOOKUP($A101,'Página7'!$A$1:$AA$27,COLUMN(),TRUE)</f>
        <v>14247.49</v>
      </c>
      <c r="R101" s="48">
        <f>VLOOKUP($A101,'Página7'!$A$1:$AA$27,COLUMN(),TRUE)</f>
        <v>29760.95</v>
      </c>
      <c r="S101" s="48">
        <f>VLOOKUP($A101,'Página7'!$A$1:$AA$27,COLUMN(),TRUE)</f>
        <v>4500</v>
      </c>
      <c r="T101" s="48">
        <f>VLOOKUP($A101,'Página7'!$A$1:$AA$27,COLUMN(),TRUE)</f>
        <v>17740.89</v>
      </c>
      <c r="U101" s="48">
        <f>VLOOKUP($A101,'Página7'!$A$1:$AA$27,COLUMN(),TRUE)</f>
        <v>2700</v>
      </c>
      <c r="V101" s="48">
        <f>VLOOKUP($A101,'Página7'!$A$1:$AA$27,COLUMN(),TRUE)</f>
        <v>19209.43475</v>
      </c>
      <c r="W101" s="48">
        <f>VLOOKUP($A101,'Página7'!$A$1:$AA$27,COLUMN(),TRUE)</f>
        <v>10329.43025</v>
      </c>
      <c r="X101" s="48">
        <f>VLOOKUP($A101,'Página7'!$A$1:$AA$27,COLUMN(),TRUE)</f>
        <v>19209.39125</v>
      </c>
      <c r="Y101" s="48">
        <f>VLOOKUP($A101,'Página7'!$A$1:$AA$27,COLUMN(),TRUE)</f>
        <v>3262.5</v>
      </c>
      <c r="Z101" s="48">
        <f>VLOOKUP($A101,'Página7'!$A$1:$AA$27,COLUMN(),TRUE)</f>
        <v>12150.61</v>
      </c>
      <c r="AA101" s="48">
        <f>VLOOKUP($A101,'Página7'!$A$1:$AA$27,COLUMN(),TRUE)</f>
        <v>1957.5</v>
      </c>
    </row>
    <row r="102">
      <c r="A102" s="34">
        <v>45413.0</v>
      </c>
      <c r="B102" s="48">
        <f>ROUND(IF(MONTH($A102)=12,2.333,1)*VLOOKUP($A102,'Página7'!$A$1:$AA$27,COLUMN(),TRUE),2)</f>
        <v>44008.52</v>
      </c>
      <c r="C102" s="48">
        <f t="shared" si="7"/>
        <v>43652.34</v>
      </c>
      <c r="D102" s="48">
        <f>ROUND(IF(MONTH($A102)=12,2.333,1)*VLOOKUP($A102,'Página7'!$A$1:$AA$27,COLUMN(),TRUE),2)</f>
        <v>33721.23</v>
      </c>
      <c r="E102" s="48">
        <f t="shared" si="2"/>
        <v>33810.95</v>
      </c>
      <c r="F102" s="48">
        <f t="shared" si="3"/>
        <v>20170.89</v>
      </c>
      <c r="G102" s="48">
        <f>ROUND(IF(MONTH($A102)=12,2.333,1)*VLOOKUP($A102,'Página7'!$A$1:$AA$27,COLUMN(),TRUE),2)</f>
        <v>29832.94</v>
      </c>
      <c r="H102" s="48">
        <f>ROUND(IF(MONTH($A102)=12,2.333,1)*VLOOKUP($A102,'Página7'!$A$1:$AA$27,COLUMN(),TRUE),2)</f>
        <v>13640.89</v>
      </c>
      <c r="I102" s="48">
        <f>ROUND(IF(MONTH($A102)=12,2.333,1)*VLOOKUP($A102,'Página7'!$A$1:$AA$27,COLUMN(),TRUE),2)</f>
        <v>27576.28</v>
      </c>
      <c r="J102" s="48">
        <f t="shared" si="8"/>
        <v>29280.63</v>
      </c>
      <c r="K102" s="48">
        <f>ROUND(IF(MONTH($A102)=12,2.333,1)*VLOOKUP($A102,'Página7'!$A$1:$AA$27,COLUMN(),TRUE),2)</f>
        <v>21535.06</v>
      </c>
      <c r="L102" s="48">
        <f t="shared" si="5"/>
        <v>22145.64</v>
      </c>
      <c r="M102" s="48">
        <f t="shared" si="6"/>
        <v>13912.36</v>
      </c>
      <c r="N102" s="48">
        <f>ROUND(IF(MONTH($A102)=12,2.333,1)*VLOOKUP($A102,'Página7'!$A$1:$AA$27,COLUMN(),TRUE),2)</f>
        <v>19251.67</v>
      </c>
      <c r="O102" s="48">
        <f>ROUND(IF(MONTH($A102)=12,2.333,1)*VLOOKUP($A102,'Página7'!$A$1:$AA$27,COLUMN(),TRUE),2)</f>
        <v>9742.89</v>
      </c>
      <c r="P102" s="48">
        <f>VLOOKUP($A102,'Página7'!$A$1:$AA$27,COLUMN(),TRUE)</f>
        <v>29761.03</v>
      </c>
      <c r="Q102" s="48">
        <f>VLOOKUP($A102,'Página7'!$A$1:$AA$27,COLUMN(),TRUE)</f>
        <v>14247.49</v>
      </c>
      <c r="R102" s="48">
        <f>VLOOKUP($A102,'Página7'!$A$1:$AA$27,COLUMN(),TRUE)</f>
        <v>29760.95</v>
      </c>
      <c r="S102" s="48">
        <f>VLOOKUP($A102,'Página7'!$A$1:$AA$27,COLUMN(),TRUE)</f>
        <v>4500</v>
      </c>
      <c r="T102" s="48">
        <f>VLOOKUP($A102,'Página7'!$A$1:$AA$27,COLUMN(),TRUE)</f>
        <v>17740.89</v>
      </c>
      <c r="U102" s="48">
        <f>VLOOKUP($A102,'Página7'!$A$1:$AA$27,COLUMN(),TRUE)</f>
        <v>2700</v>
      </c>
      <c r="V102" s="48">
        <f>VLOOKUP($A102,'Página7'!$A$1:$AA$27,COLUMN(),TRUE)</f>
        <v>19209.43475</v>
      </c>
      <c r="W102" s="48">
        <f>VLOOKUP($A102,'Página7'!$A$1:$AA$27,COLUMN(),TRUE)</f>
        <v>10329.43025</v>
      </c>
      <c r="X102" s="48">
        <f>VLOOKUP($A102,'Página7'!$A$1:$AA$27,COLUMN(),TRUE)</f>
        <v>19209.39125</v>
      </c>
      <c r="Y102" s="48">
        <f>VLOOKUP($A102,'Página7'!$A$1:$AA$27,COLUMN(),TRUE)</f>
        <v>3262.5</v>
      </c>
      <c r="Z102" s="48">
        <f>VLOOKUP($A102,'Página7'!$A$1:$AA$27,COLUMN(),TRUE)</f>
        <v>12150.61</v>
      </c>
      <c r="AA102" s="48">
        <f>VLOOKUP($A102,'Página7'!$A$1:$AA$27,COLUMN(),TRUE)</f>
        <v>1957.5</v>
      </c>
    </row>
    <row r="103">
      <c r="A103" s="34">
        <v>45444.0</v>
      </c>
      <c r="B103" s="48">
        <f>ROUND(IF(MONTH($A103)=12,2.333,1)*VLOOKUP($A103,'Página7'!$A$1:$AA$27,COLUMN(),TRUE),2)</f>
        <v>44008.52</v>
      </c>
      <c r="C103" s="48">
        <f t="shared" si="7"/>
        <v>43652.34</v>
      </c>
      <c r="D103" s="48">
        <f>ROUND(IF(MONTH($A103)=12,2.333,1)*VLOOKUP($A103,'Página7'!$A$1:$AA$27,COLUMN(),TRUE),2)</f>
        <v>33721.23</v>
      </c>
      <c r="E103" s="48">
        <f t="shared" si="2"/>
        <v>33810.95</v>
      </c>
      <c r="F103" s="48">
        <f t="shared" si="3"/>
        <v>20170.89</v>
      </c>
      <c r="G103" s="48">
        <f>ROUND(IF(MONTH($A103)=12,2.333,1)*VLOOKUP($A103,'Página7'!$A$1:$AA$27,COLUMN(),TRUE),2)</f>
        <v>29832.94</v>
      </c>
      <c r="H103" s="48">
        <f>ROUND(IF(MONTH($A103)=12,2.333,1)*VLOOKUP($A103,'Página7'!$A$1:$AA$27,COLUMN(),TRUE),2)</f>
        <v>13640.89</v>
      </c>
      <c r="I103" s="48">
        <f>ROUND(IF(MONTH($A103)=12,2.333,1)*VLOOKUP($A103,'Página7'!$A$1:$AA$27,COLUMN(),TRUE),2)</f>
        <v>27576.28</v>
      </c>
      <c r="J103" s="48">
        <f t="shared" si="8"/>
        <v>29280.63</v>
      </c>
      <c r="K103" s="48">
        <f>ROUND(IF(MONTH($A103)=12,2.333,1)*VLOOKUP($A103,'Página7'!$A$1:$AA$27,COLUMN(),TRUE),2)</f>
        <v>21535.06</v>
      </c>
      <c r="L103" s="48">
        <f t="shared" si="5"/>
        <v>22145.64</v>
      </c>
      <c r="M103" s="48">
        <f t="shared" si="6"/>
        <v>13912.36</v>
      </c>
      <c r="N103" s="48">
        <f>ROUND(IF(MONTH($A103)=12,2.333,1)*VLOOKUP($A103,'Página7'!$A$1:$AA$27,COLUMN(),TRUE),2)</f>
        <v>19251.67</v>
      </c>
      <c r="O103" s="48">
        <f>ROUND(IF(MONTH($A103)=12,2.333,1)*VLOOKUP($A103,'Página7'!$A$1:$AA$27,COLUMN(),TRUE),2)</f>
        <v>9742.89</v>
      </c>
      <c r="P103" s="48">
        <f>VLOOKUP($A103,'Página7'!$A$1:$AA$27,COLUMN(),TRUE)</f>
        <v>29761.03</v>
      </c>
      <c r="Q103" s="48">
        <f>VLOOKUP($A103,'Página7'!$A$1:$AA$27,COLUMN(),TRUE)</f>
        <v>14247.49</v>
      </c>
      <c r="R103" s="48">
        <f>VLOOKUP($A103,'Página7'!$A$1:$AA$27,COLUMN(),TRUE)</f>
        <v>29760.95</v>
      </c>
      <c r="S103" s="48">
        <f>VLOOKUP($A103,'Página7'!$A$1:$AA$27,COLUMN(),TRUE)</f>
        <v>4500</v>
      </c>
      <c r="T103" s="48">
        <f>VLOOKUP($A103,'Página7'!$A$1:$AA$27,COLUMN(),TRUE)</f>
        <v>17740.89</v>
      </c>
      <c r="U103" s="48">
        <f>VLOOKUP($A103,'Página7'!$A$1:$AA$27,COLUMN(),TRUE)</f>
        <v>2700</v>
      </c>
      <c r="V103" s="48">
        <f>VLOOKUP($A103,'Página7'!$A$1:$AA$27,COLUMN(),TRUE)</f>
        <v>19209.43475</v>
      </c>
      <c r="W103" s="48">
        <f>VLOOKUP($A103,'Página7'!$A$1:$AA$27,COLUMN(),TRUE)</f>
        <v>10329.43025</v>
      </c>
      <c r="X103" s="48">
        <f>VLOOKUP($A103,'Página7'!$A$1:$AA$27,COLUMN(),TRUE)</f>
        <v>19209.39125</v>
      </c>
      <c r="Y103" s="48">
        <f>VLOOKUP($A103,'Página7'!$A$1:$AA$27,COLUMN(),TRUE)</f>
        <v>3262.5</v>
      </c>
      <c r="Z103" s="48">
        <f>VLOOKUP($A103,'Página7'!$A$1:$AA$27,COLUMN(),TRUE)</f>
        <v>12150.61</v>
      </c>
      <c r="AA103" s="48">
        <f>VLOOKUP($A103,'Página7'!$A$1:$AA$27,COLUMN(),TRUE)</f>
        <v>1957.5</v>
      </c>
    </row>
    <row r="104">
      <c r="A104" s="34">
        <v>45474.0</v>
      </c>
      <c r="B104" s="48">
        <f>ROUND(IF(MONTH($A104)=12,2.333,1)*VLOOKUP($A104,'Página7'!$A$1:$AA$27,COLUMN(),TRUE),2)</f>
        <v>44008.52</v>
      </c>
      <c r="C104" s="48">
        <f t="shared" si="7"/>
        <v>43652.34</v>
      </c>
      <c r="D104" s="48">
        <f>ROUND(IF(MONTH($A104)=12,2.333,1)*VLOOKUP($A104,'Página7'!$A$1:$AA$27,COLUMN(),TRUE),2)</f>
        <v>33721.23</v>
      </c>
      <c r="E104" s="48">
        <f t="shared" si="2"/>
        <v>33810.95</v>
      </c>
      <c r="F104" s="48">
        <f t="shared" si="3"/>
        <v>20170.89</v>
      </c>
      <c r="G104" s="48">
        <f>ROUND(IF(MONTH($A104)=12,2.333,1)*VLOOKUP($A104,'Página7'!$A$1:$AA$27,COLUMN(),TRUE),2)</f>
        <v>29832.94</v>
      </c>
      <c r="H104" s="48">
        <f>ROUND(IF(MONTH($A104)=12,2.333,1)*VLOOKUP($A104,'Página7'!$A$1:$AA$27,COLUMN(),TRUE),2)</f>
        <v>13640.89</v>
      </c>
      <c r="I104" s="48">
        <f>ROUND(IF(MONTH($A104)=12,2.333,1)*VLOOKUP($A104,'Página7'!$A$1:$AA$27,COLUMN(),TRUE),2)</f>
        <v>27576.28</v>
      </c>
      <c r="J104" s="48">
        <f t="shared" si="8"/>
        <v>29280.63</v>
      </c>
      <c r="K104" s="48">
        <f>ROUND(IF(MONTH($A104)=12,2.333,1)*VLOOKUP($A104,'Página7'!$A$1:$AA$27,COLUMN(),TRUE),2)</f>
        <v>21535.06</v>
      </c>
      <c r="L104" s="48">
        <f t="shared" si="5"/>
        <v>22145.64</v>
      </c>
      <c r="M104" s="48">
        <f t="shared" si="6"/>
        <v>13912.36</v>
      </c>
      <c r="N104" s="48">
        <f>ROUND(IF(MONTH($A104)=12,2.333,1)*VLOOKUP($A104,'Página7'!$A$1:$AA$27,COLUMN(),TRUE),2)</f>
        <v>19251.67</v>
      </c>
      <c r="O104" s="48">
        <f>ROUND(IF(MONTH($A104)=12,2.333,1)*VLOOKUP($A104,'Página7'!$A$1:$AA$27,COLUMN(),TRUE),2)</f>
        <v>9742.89</v>
      </c>
      <c r="P104" s="48">
        <f>VLOOKUP($A104,'Página7'!$A$1:$AA$27,COLUMN(),TRUE)</f>
        <v>29761.03</v>
      </c>
      <c r="Q104" s="48">
        <f>VLOOKUP($A104,'Página7'!$A$1:$AA$27,COLUMN(),TRUE)</f>
        <v>14247.49</v>
      </c>
      <c r="R104" s="48">
        <f>VLOOKUP($A104,'Página7'!$A$1:$AA$27,COLUMN(),TRUE)</f>
        <v>29760.95</v>
      </c>
      <c r="S104" s="48">
        <f>VLOOKUP($A104,'Página7'!$A$1:$AA$27,COLUMN(),TRUE)</f>
        <v>4500</v>
      </c>
      <c r="T104" s="48">
        <f>VLOOKUP($A104,'Página7'!$A$1:$AA$27,COLUMN(),TRUE)</f>
        <v>17740.89</v>
      </c>
      <c r="U104" s="48">
        <f>VLOOKUP($A104,'Página7'!$A$1:$AA$27,COLUMN(),TRUE)</f>
        <v>2700</v>
      </c>
      <c r="V104" s="48">
        <f>VLOOKUP($A104,'Página7'!$A$1:$AA$27,COLUMN(),TRUE)</f>
        <v>19209.43475</v>
      </c>
      <c r="W104" s="48">
        <f>VLOOKUP($A104,'Página7'!$A$1:$AA$27,COLUMN(),TRUE)</f>
        <v>10329.43025</v>
      </c>
      <c r="X104" s="48">
        <f>VLOOKUP($A104,'Página7'!$A$1:$AA$27,COLUMN(),TRUE)</f>
        <v>19209.39125</v>
      </c>
      <c r="Y104" s="48">
        <f>VLOOKUP($A104,'Página7'!$A$1:$AA$27,COLUMN(),TRUE)</f>
        <v>3262.5</v>
      </c>
      <c r="Z104" s="48">
        <f>VLOOKUP($A104,'Página7'!$A$1:$AA$27,COLUMN(),TRUE)</f>
        <v>12150.61</v>
      </c>
      <c r="AA104" s="48">
        <f>VLOOKUP($A104,'Página7'!$A$1:$AA$27,COLUMN(),TRUE)</f>
        <v>1957.5</v>
      </c>
    </row>
    <row r="105">
      <c r="A105" s="34">
        <v>45505.0</v>
      </c>
      <c r="B105" s="48">
        <f>ROUND(IF(MONTH($A105)=12,2.333,1)*VLOOKUP($A105,'Página7'!$A$1:$AA$27,COLUMN(),TRUE),2)</f>
        <v>44008.52</v>
      </c>
      <c r="C105" s="48">
        <f t="shared" si="7"/>
        <v>43652.34</v>
      </c>
      <c r="D105" s="48">
        <f>ROUND(IF(MONTH($A105)=12,2.333,1)*VLOOKUP($A105,'Página7'!$A$1:$AA$27,COLUMN(),TRUE),2)</f>
        <v>34732.87</v>
      </c>
      <c r="E105" s="48">
        <f t="shared" si="2"/>
        <v>34260.95</v>
      </c>
      <c r="F105" s="48">
        <f t="shared" si="3"/>
        <v>20440.89</v>
      </c>
      <c r="G105" s="48">
        <f>ROUND(IF(MONTH($A105)=12,2.333,1)*VLOOKUP($A105,'Página7'!$A$1:$AA$27,COLUMN(),TRUE),2)</f>
        <v>29832.94</v>
      </c>
      <c r="H105" s="48">
        <f>ROUND(IF(MONTH($A105)=12,2.333,1)*VLOOKUP($A105,'Página7'!$A$1:$AA$27,COLUMN(),TRUE),2)</f>
        <v>13640.89</v>
      </c>
      <c r="I105" s="48">
        <f>ROUND(IF(MONTH($A105)=12,2.333,1)*VLOOKUP($A105,'Página7'!$A$1:$AA$27,COLUMN(),TRUE),2)</f>
        <v>27576.28</v>
      </c>
      <c r="J105" s="48">
        <f t="shared" si="8"/>
        <v>29280.63</v>
      </c>
      <c r="K105" s="48">
        <f>ROUND(IF(MONTH($A105)=12,2.333,1)*VLOOKUP($A105,'Página7'!$A$1:$AA$27,COLUMN(),TRUE),2)</f>
        <v>22129.15</v>
      </c>
      <c r="L105" s="48">
        <f t="shared" si="5"/>
        <v>22471.89</v>
      </c>
      <c r="M105" s="48">
        <f t="shared" si="6"/>
        <v>14108.11</v>
      </c>
      <c r="N105" s="48">
        <f>ROUND(IF(MONTH($A105)=12,2.333,1)*VLOOKUP($A105,'Página7'!$A$1:$AA$27,COLUMN(),TRUE),2)</f>
        <v>19251.67</v>
      </c>
      <c r="O105" s="48">
        <f>ROUND(IF(MONTH($A105)=12,2.333,1)*VLOOKUP($A105,'Página7'!$A$1:$AA$27,COLUMN(),TRUE),2)</f>
        <v>9742.89</v>
      </c>
      <c r="P105" s="48">
        <f>VLOOKUP($A105,'Página7'!$A$1:$AA$27,COLUMN(),TRUE)</f>
        <v>29761.03</v>
      </c>
      <c r="Q105" s="48">
        <f>VLOOKUP($A105,'Página7'!$A$1:$AA$27,COLUMN(),TRUE)</f>
        <v>14247.49</v>
      </c>
      <c r="R105" s="48">
        <f>VLOOKUP($A105,'Página7'!$A$1:$AA$27,COLUMN(),TRUE)</f>
        <v>29760.95</v>
      </c>
      <c r="S105" s="48">
        <f>VLOOKUP($A105,'Página7'!$A$1:$AA$27,COLUMN(),TRUE)</f>
        <v>5000</v>
      </c>
      <c r="T105" s="48">
        <f>VLOOKUP($A105,'Página7'!$A$1:$AA$27,COLUMN(),TRUE)</f>
        <v>17740.89</v>
      </c>
      <c r="U105" s="48">
        <f>VLOOKUP($A105,'Página7'!$A$1:$AA$27,COLUMN(),TRUE)</f>
        <v>3000</v>
      </c>
      <c r="V105" s="48">
        <f>VLOOKUP($A105,'Página7'!$A$1:$AA$27,COLUMN(),TRUE)</f>
        <v>19209.43475</v>
      </c>
      <c r="W105" s="48">
        <f>VLOOKUP($A105,'Página7'!$A$1:$AA$27,COLUMN(),TRUE)</f>
        <v>10329.43025</v>
      </c>
      <c r="X105" s="48">
        <f>VLOOKUP($A105,'Página7'!$A$1:$AA$27,COLUMN(),TRUE)</f>
        <v>19209.39125</v>
      </c>
      <c r="Y105" s="48">
        <f>VLOOKUP($A105,'Página7'!$A$1:$AA$27,COLUMN(),TRUE)</f>
        <v>3625</v>
      </c>
      <c r="Z105" s="48">
        <f>VLOOKUP($A105,'Página7'!$A$1:$AA$27,COLUMN(),TRUE)</f>
        <v>12150.61</v>
      </c>
      <c r="AA105" s="48">
        <f>VLOOKUP($A105,'Página7'!$A$1:$AA$27,COLUMN(),TRUE)</f>
        <v>2175</v>
      </c>
    </row>
    <row r="106">
      <c r="A106" s="34">
        <v>45536.0</v>
      </c>
      <c r="B106" s="48">
        <f>ROUND(IF(MONTH($A106)=12,2.333,1)*VLOOKUP($A106,'Página7'!$A$1:$AA$27,COLUMN(),TRUE),2)</f>
        <v>44008.52</v>
      </c>
      <c r="C106" s="48">
        <f t="shared" si="7"/>
        <v>43652.34</v>
      </c>
      <c r="D106" s="48">
        <f>ROUND(IF(MONTH($A106)=12,2.333,1)*VLOOKUP($A106,'Página7'!$A$1:$AA$27,COLUMN(),TRUE),2)</f>
        <v>34732.87</v>
      </c>
      <c r="E106" s="48">
        <f t="shared" si="2"/>
        <v>34260.95</v>
      </c>
      <c r="F106" s="48">
        <f t="shared" si="3"/>
        <v>20440.89</v>
      </c>
      <c r="G106" s="48">
        <f>ROUND(IF(MONTH($A106)=12,2.333,1)*VLOOKUP($A106,'Página7'!$A$1:$AA$27,COLUMN(),TRUE),2)</f>
        <v>29832.94</v>
      </c>
      <c r="H106" s="48">
        <f>ROUND(IF(MONTH($A106)=12,2.333,1)*VLOOKUP($A106,'Página7'!$A$1:$AA$27,COLUMN(),TRUE),2)</f>
        <v>13640.89</v>
      </c>
      <c r="I106" s="48">
        <f>ROUND(IF(MONTH($A106)=12,2.333,1)*VLOOKUP($A106,'Página7'!$A$1:$AA$27,COLUMN(),TRUE),2)</f>
        <v>27576.28</v>
      </c>
      <c r="J106" s="48">
        <f t="shared" si="8"/>
        <v>29280.63</v>
      </c>
      <c r="K106" s="48">
        <f>ROUND(IF(MONTH($A106)=12,2.333,1)*VLOOKUP($A106,'Página7'!$A$1:$AA$27,COLUMN(),TRUE),2)</f>
        <v>22129.15</v>
      </c>
      <c r="L106" s="48">
        <f t="shared" si="5"/>
        <v>22471.89</v>
      </c>
      <c r="M106" s="48">
        <f t="shared" si="6"/>
        <v>14108.11</v>
      </c>
      <c r="N106" s="48">
        <f>ROUND(IF(MONTH($A106)=12,2.333,1)*VLOOKUP($A106,'Página7'!$A$1:$AA$27,COLUMN(),TRUE),2)</f>
        <v>19251.67</v>
      </c>
      <c r="O106" s="48">
        <f>ROUND(IF(MONTH($A106)=12,2.333,1)*VLOOKUP($A106,'Página7'!$A$1:$AA$27,COLUMN(),TRUE),2)</f>
        <v>9742.89</v>
      </c>
      <c r="P106" s="48">
        <f>VLOOKUP($A106,'Página7'!$A$1:$AA$27,COLUMN(),TRUE)</f>
        <v>29761.03</v>
      </c>
      <c r="Q106" s="48">
        <f>VLOOKUP($A106,'Página7'!$A$1:$AA$27,COLUMN(),TRUE)</f>
        <v>14247.49</v>
      </c>
      <c r="R106" s="48">
        <f>VLOOKUP($A106,'Página7'!$A$1:$AA$27,COLUMN(),TRUE)</f>
        <v>29760.95</v>
      </c>
      <c r="S106" s="48">
        <f>VLOOKUP($A106,'Página7'!$A$1:$AA$27,COLUMN(),TRUE)</f>
        <v>5000</v>
      </c>
      <c r="T106" s="48">
        <f>VLOOKUP($A106,'Página7'!$A$1:$AA$27,COLUMN(),TRUE)</f>
        <v>17740.89</v>
      </c>
      <c r="U106" s="48">
        <f>VLOOKUP($A106,'Página7'!$A$1:$AA$27,COLUMN(),TRUE)</f>
        <v>3000</v>
      </c>
      <c r="V106" s="48">
        <f>VLOOKUP($A106,'Página7'!$A$1:$AA$27,COLUMN(),TRUE)</f>
        <v>19209.43475</v>
      </c>
      <c r="W106" s="48">
        <f>VLOOKUP($A106,'Página7'!$A$1:$AA$27,COLUMN(),TRUE)</f>
        <v>10329.43025</v>
      </c>
      <c r="X106" s="48">
        <f>VLOOKUP($A106,'Página7'!$A$1:$AA$27,COLUMN(),TRUE)</f>
        <v>19209.39125</v>
      </c>
      <c r="Y106" s="48">
        <f>VLOOKUP($A106,'Página7'!$A$1:$AA$27,COLUMN(),TRUE)</f>
        <v>3625</v>
      </c>
      <c r="Z106" s="48">
        <f>VLOOKUP($A106,'Página7'!$A$1:$AA$27,COLUMN(),TRUE)</f>
        <v>12150.61</v>
      </c>
      <c r="AA106" s="48">
        <f>VLOOKUP($A106,'Página7'!$A$1:$AA$27,COLUMN(),TRUE)</f>
        <v>2175</v>
      </c>
    </row>
    <row r="107">
      <c r="A107" s="34">
        <v>45566.0</v>
      </c>
      <c r="B107" s="48">
        <f>ROUND(IF(MONTH($A107)=12,2.333,1)*VLOOKUP($A107,'Página7'!$A$1:$AA$27,COLUMN(),TRUE),2)</f>
        <v>44008.52</v>
      </c>
      <c r="C107" s="48">
        <f t="shared" si="7"/>
        <v>43652.34</v>
      </c>
      <c r="D107" s="48">
        <f>ROUND(IF(MONTH($A107)=12,2.333,1)*VLOOKUP($A107,'Página7'!$A$1:$AA$27,COLUMN(),TRUE),2)</f>
        <v>34732.87</v>
      </c>
      <c r="E107" s="48">
        <f t="shared" si="2"/>
        <v>34260.95</v>
      </c>
      <c r="F107" s="48">
        <f t="shared" si="3"/>
        <v>20440.89</v>
      </c>
      <c r="G107" s="48">
        <f>ROUND(IF(MONTH($A107)=12,2.333,1)*VLOOKUP($A107,'Página7'!$A$1:$AA$27,COLUMN(),TRUE),2)</f>
        <v>29832.94</v>
      </c>
      <c r="H107" s="48">
        <f>ROUND(IF(MONTH($A107)=12,2.333,1)*VLOOKUP($A107,'Página7'!$A$1:$AA$27,COLUMN(),TRUE),2)</f>
        <v>13640.89</v>
      </c>
      <c r="I107" s="48">
        <f>ROUND(IF(MONTH($A107)=12,2.333,1)*VLOOKUP($A107,'Página7'!$A$1:$AA$27,COLUMN(),TRUE),2)</f>
        <v>27576.28</v>
      </c>
      <c r="J107" s="48">
        <f t="shared" si="8"/>
        <v>29280.63</v>
      </c>
      <c r="K107" s="48">
        <f>ROUND(IF(MONTH($A107)=12,2.333,1)*VLOOKUP($A107,'Página7'!$A$1:$AA$27,COLUMN(),TRUE),2)</f>
        <v>22129.15</v>
      </c>
      <c r="L107" s="48">
        <f t="shared" si="5"/>
        <v>22471.89</v>
      </c>
      <c r="M107" s="48">
        <f t="shared" si="6"/>
        <v>14108.11</v>
      </c>
      <c r="N107" s="48">
        <f>ROUND(IF(MONTH($A107)=12,2.333,1)*VLOOKUP($A107,'Página7'!$A$1:$AA$27,COLUMN(),TRUE),2)</f>
        <v>19251.67</v>
      </c>
      <c r="O107" s="48">
        <f>ROUND(IF(MONTH($A107)=12,2.333,1)*VLOOKUP($A107,'Página7'!$A$1:$AA$27,COLUMN(),TRUE),2)</f>
        <v>9742.89</v>
      </c>
      <c r="P107" s="48">
        <f>VLOOKUP($A107,'Página7'!$A$1:$AA$27,COLUMN(),TRUE)</f>
        <v>29761.03</v>
      </c>
      <c r="Q107" s="48">
        <f>VLOOKUP($A107,'Página7'!$A$1:$AA$27,COLUMN(),TRUE)</f>
        <v>14247.49</v>
      </c>
      <c r="R107" s="48">
        <f>VLOOKUP($A107,'Página7'!$A$1:$AA$27,COLUMN(),TRUE)</f>
        <v>29760.95</v>
      </c>
      <c r="S107" s="48">
        <f>VLOOKUP($A107,'Página7'!$A$1:$AA$27,COLUMN(),TRUE)</f>
        <v>5000</v>
      </c>
      <c r="T107" s="48">
        <f>VLOOKUP($A107,'Página7'!$A$1:$AA$27,COLUMN(),TRUE)</f>
        <v>17740.89</v>
      </c>
      <c r="U107" s="48">
        <f>VLOOKUP($A107,'Página7'!$A$1:$AA$27,COLUMN(),TRUE)</f>
        <v>3000</v>
      </c>
      <c r="V107" s="48">
        <f>VLOOKUP($A107,'Página7'!$A$1:$AA$27,COLUMN(),TRUE)</f>
        <v>19209.43475</v>
      </c>
      <c r="W107" s="48">
        <f>VLOOKUP($A107,'Página7'!$A$1:$AA$27,COLUMN(),TRUE)</f>
        <v>10329.43025</v>
      </c>
      <c r="X107" s="48">
        <f>VLOOKUP($A107,'Página7'!$A$1:$AA$27,COLUMN(),TRUE)</f>
        <v>19209.39125</v>
      </c>
      <c r="Y107" s="48">
        <f>VLOOKUP($A107,'Página7'!$A$1:$AA$27,COLUMN(),TRUE)</f>
        <v>3625</v>
      </c>
      <c r="Z107" s="48">
        <f>VLOOKUP($A107,'Página7'!$A$1:$AA$27,COLUMN(),TRUE)</f>
        <v>12150.61</v>
      </c>
      <c r="AA107" s="48">
        <f>VLOOKUP($A107,'Página7'!$A$1:$AA$27,COLUMN(),TRUE)</f>
        <v>2175</v>
      </c>
    </row>
    <row r="108">
      <c r="A108" s="34">
        <v>45597.0</v>
      </c>
      <c r="B108" s="48">
        <f>ROUND(IF(MONTH($A108)=12,2.333,1)*VLOOKUP($A108,'Página7'!$A$1:$AA$27,COLUMN(),TRUE),2)</f>
        <v>44008.52</v>
      </c>
      <c r="C108" s="48">
        <f t="shared" si="7"/>
        <v>43652.34</v>
      </c>
      <c r="D108" s="48">
        <f>ROUND(IF(MONTH($A108)=12,2.333,1)*VLOOKUP($A108,'Página7'!$A$1:$AA$27,COLUMN(),TRUE),2)</f>
        <v>34732.87</v>
      </c>
      <c r="E108" s="48">
        <f t="shared" si="2"/>
        <v>34260.95</v>
      </c>
      <c r="F108" s="48">
        <f t="shared" si="3"/>
        <v>20440.89</v>
      </c>
      <c r="G108" s="48">
        <f>ROUND(IF(MONTH($A108)=12,2.333,1)*VLOOKUP($A108,'Página7'!$A$1:$AA$27,COLUMN(),TRUE),2)</f>
        <v>29832.94</v>
      </c>
      <c r="H108" s="48">
        <f>ROUND(IF(MONTH($A108)=12,2.333,1)*VLOOKUP($A108,'Página7'!$A$1:$AA$27,COLUMN(),TRUE),2)</f>
        <v>13640.89</v>
      </c>
      <c r="I108" s="48">
        <f>ROUND(IF(MONTH($A108)=12,2.333,1)*VLOOKUP($A108,'Página7'!$A$1:$AA$27,COLUMN(),TRUE),2)</f>
        <v>27576.28</v>
      </c>
      <c r="J108" s="48">
        <f t="shared" si="8"/>
        <v>29280.63</v>
      </c>
      <c r="K108" s="48">
        <f>ROUND(IF(MONTH($A108)=12,2.333,1)*VLOOKUP($A108,'Página7'!$A$1:$AA$27,COLUMN(),TRUE),2)</f>
        <v>22129.15</v>
      </c>
      <c r="L108" s="48">
        <f t="shared" si="5"/>
        <v>22471.89</v>
      </c>
      <c r="M108" s="48">
        <f t="shared" si="6"/>
        <v>14108.11</v>
      </c>
      <c r="N108" s="48">
        <f>ROUND(IF(MONTH($A108)=12,2.333,1)*VLOOKUP($A108,'Página7'!$A$1:$AA$27,COLUMN(),TRUE),2)</f>
        <v>19251.67</v>
      </c>
      <c r="O108" s="48">
        <f>ROUND(IF(MONTH($A108)=12,2.333,1)*VLOOKUP($A108,'Página7'!$A$1:$AA$27,COLUMN(),TRUE),2)</f>
        <v>9742.89</v>
      </c>
      <c r="P108" s="48">
        <f>VLOOKUP($A108,'Página7'!$A$1:$AA$27,COLUMN(),TRUE)</f>
        <v>29761.03</v>
      </c>
      <c r="Q108" s="48">
        <f>VLOOKUP($A108,'Página7'!$A$1:$AA$27,COLUMN(),TRUE)</f>
        <v>14247.49</v>
      </c>
      <c r="R108" s="48">
        <f>VLOOKUP($A108,'Página7'!$A$1:$AA$27,COLUMN(),TRUE)</f>
        <v>29760.95</v>
      </c>
      <c r="S108" s="48">
        <f>VLOOKUP($A108,'Página7'!$A$1:$AA$27,COLUMN(),TRUE)</f>
        <v>5000</v>
      </c>
      <c r="T108" s="48">
        <f>VLOOKUP($A108,'Página7'!$A$1:$AA$27,COLUMN(),TRUE)</f>
        <v>17740.89</v>
      </c>
      <c r="U108" s="48">
        <f>VLOOKUP($A108,'Página7'!$A$1:$AA$27,COLUMN(),TRUE)</f>
        <v>3000</v>
      </c>
      <c r="V108" s="48">
        <f>VLOOKUP($A108,'Página7'!$A$1:$AA$27,COLUMN(),TRUE)</f>
        <v>19209.43475</v>
      </c>
      <c r="W108" s="48">
        <f>VLOOKUP($A108,'Página7'!$A$1:$AA$27,COLUMN(),TRUE)</f>
        <v>10329.43025</v>
      </c>
      <c r="X108" s="48">
        <f>VLOOKUP($A108,'Página7'!$A$1:$AA$27,COLUMN(),TRUE)</f>
        <v>19209.39125</v>
      </c>
      <c r="Y108" s="48">
        <f>VLOOKUP($A108,'Página7'!$A$1:$AA$27,COLUMN(),TRUE)</f>
        <v>3625</v>
      </c>
      <c r="Z108" s="48">
        <f>VLOOKUP($A108,'Página7'!$A$1:$AA$27,COLUMN(),TRUE)</f>
        <v>12150.61</v>
      </c>
      <c r="AA108" s="48">
        <f>VLOOKUP($A108,'Página7'!$A$1:$AA$27,COLUMN(),TRUE)</f>
        <v>2175</v>
      </c>
    </row>
    <row r="109">
      <c r="A109" s="34">
        <v>45627.0</v>
      </c>
      <c r="B109" s="48">
        <f>ROUND(IF(MONTH($A109)=12,2.333,1)*VLOOKUP($A109,'Página7'!$A$1:$AA$27,COLUMN(),TRUE),2)</f>
        <v>102671.88</v>
      </c>
      <c r="C109" s="48">
        <f t="shared" si="7"/>
        <v>101840.91</v>
      </c>
      <c r="D109" s="48">
        <f>ROUND(IF(MONTH($A109)=12,2.333,1)*VLOOKUP($A109,'Página7'!$A$1:$AA$27,COLUMN(),TRUE),2)</f>
        <v>81031.79</v>
      </c>
      <c r="E109" s="48">
        <f t="shared" si="2"/>
        <v>79930.8</v>
      </c>
      <c r="F109" s="48">
        <f t="shared" si="3"/>
        <v>47688.6</v>
      </c>
      <c r="G109" s="48">
        <f>ROUND(IF(MONTH($A109)=12,2.333,1)*VLOOKUP($A109,'Página7'!$A$1:$AA$27,COLUMN(),TRUE),2)</f>
        <v>69600.25</v>
      </c>
      <c r="H109" s="48">
        <f>ROUND(IF(MONTH($A109)=12,2.333,1)*VLOOKUP($A109,'Página7'!$A$1:$AA$27,COLUMN(),TRUE),2)</f>
        <v>31824.2</v>
      </c>
      <c r="I109" s="48">
        <f>ROUND(IF(MONTH($A109)=12,2.333,1)*VLOOKUP($A109,'Página7'!$A$1:$AA$27,COLUMN(),TRUE),2)</f>
        <v>64335.45</v>
      </c>
      <c r="J109" s="48">
        <f t="shared" si="8"/>
        <v>68311.72</v>
      </c>
      <c r="K109" s="48">
        <f>ROUND(IF(MONTH($A109)=12,2.333,1)*VLOOKUP($A109,'Página7'!$A$1:$AA$27,COLUMN(),TRUE),2)</f>
        <v>51627.3</v>
      </c>
      <c r="L109" s="48">
        <f t="shared" si="5"/>
        <v>52426.92</v>
      </c>
      <c r="M109" s="48">
        <f t="shared" si="6"/>
        <v>32914.22</v>
      </c>
      <c r="N109" s="48">
        <f>ROUND(IF(MONTH($A109)=12,2.333,1)*VLOOKUP($A109,'Página7'!$A$1:$AA$27,COLUMN(),TRUE),2)</f>
        <v>44914.14</v>
      </c>
      <c r="O109" s="48">
        <f>ROUND(IF(MONTH($A109)=12,2.333,1)*VLOOKUP($A109,'Página7'!$A$1:$AA$27,COLUMN(),TRUE),2)</f>
        <v>22730.15</v>
      </c>
      <c r="P109" s="48">
        <f>VLOOKUP($A109,'Página7'!$A$1:$AA$27,COLUMN(),TRUE)</f>
        <v>29761.03</v>
      </c>
      <c r="Q109" s="48">
        <f>VLOOKUP($A109,'Página7'!$A$1:$AA$27,COLUMN(),TRUE)</f>
        <v>14247.49</v>
      </c>
      <c r="R109" s="48">
        <f>VLOOKUP($A109,'Página7'!$A$1:$AA$27,COLUMN(),TRUE)</f>
        <v>29760.95</v>
      </c>
      <c r="S109" s="48">
        <f>VLOOKUP($A109,'Página7'!$A$1:$AA$27,COLUMN(),TRUE)</f>
        <v>5000</v>
      </c>
      <c r="T109" s="48">
        <f>VLOOKUP($A109,'Página7'!$A$1:$AA$27,COLUMN(),TRUE)</f>
        <v>17740.89</v>
      </c>
      <c r="U109" s="48">
        <f>VLOOKUP($A109,'Página7'!$A$1:$AA$27,COLUMN(),TRUE)</f>
        <v>3000</v>
      </c>
      <c r="V109" s="48">
        <f>VLOOKUP($A109,'Página7'!$A$1:$AA$27,COLUMN(),TRUE)</f>
        <v>19209.43475</v>
      </c>
      <c r="W109" s="48">
        <f>VLOOKUP($A109,'Página7'!$A$1:$AA$27,COLUMN(),TRUE)</f>
        <v>10329.43025</v>
      </c>
      <c r="X109" s="48">
        <f>VLOOKUP($A109,'Página7'!$A$1:$AA$27,COLUMN(),TRUE)</f>
        <v>19209.39125</v>
      </c>
      <c r="Y109" s="48">
        <f>VLOOKUP($A109,'Página7'!$A$1:$AA$27,COLUMN(),TRUE)</f>
        <v>3625</v>
      </c>
      <c r="Z109" s="48">
        <f>VLOOKUP($A109,'Página7'!$A$1:$AA$27,COLUMN(),TRUE)</f>
        <v>12150.61</v>
      </c>
      <c r="AA109" s="48">
        <f>VLOOKUP($A109,'Página7'!$A$1:$AA$27,COLUMN(),TRUE)</f>
        <v>2175</v>
      </c>
    </row>
    <row r="110">
      <c r="A110" s="34">
        <v>45658.0</v>
      </c>
      <c r="B110" s="48">
        <f>ROUND(IF(MONTH($A110)=12,2.333,1)*VLOOKUP($A110,'Página7'!$A$1:$AA$27,COLUMN(),TRUE),2)</f>
        <v>44008.52</v>
      </c>
      <c r="C110" s="48">
        <f t="shared" si="7"/>
        <v>43652.34</v>
      </c>
      <c r="D110" s="48">
        <f>ROUND(IF(MONTH($A110)=12,2.333,1)*VLOOKUP($A110,'Página7'!$A$1:$AA$27,COLUMN(),TRUE),2)</f>
        <v>34732.87</v>
      </c>
      <c r="E110" s="48">
        <f t="shared" si="2"/>
        <v>34260.95</v>
      </c>
      <c r="F110" s="48">
        <f t="shared" si="3"/>
        <v>20440.89</v>
      </c>
      <c r="G110" s="48">
        <f>ROUND(IF(MONTH($A110)=12,2.333,1)*VLOOKUP($A110,'Página7'!$A$1:$AA$27,COLUMN(),TRUE),2)</f>
        <v>33086.1</v>
      </c>
      <c r="H110" s="48">
        <f>ROUND(IF(MONTH($A110)=12,2.333,1)*VLOOKUP($A110,'Página7'!$A$1:$AA$27,COLUMN(),TRUE),2)</f>
        <v>15189.85</v>
      </c>
      <c r="I110" s="48">
        <f>ROUND(IF(MONTH($A110)=12,2.333,1)*VLOOKUP($A110,'Página7'!$A$1:$AA$27,COLUMN(),TRUE),2)</f>
        <v>27576.28</v>
      </c>
      <c r="J110" s="48">
        <f t="shared" si="8"/>
        <v>29280.63</v>
      </c>
      <c r="K110" s="48">
        <f>ROUND(IF(MONTH($A110)=12,2.333,1)*VLOOKUP($A110,'Página7'!$A$1:$AA$27,COLUMN(),TRUE),2)</f>
        <v>22129.15</v>
      </c>
      <c r="L110" s="48">
        <f t="shared" si="5"/>
        <v>22471.89</v>
      </c>
      <c r="M110" s="48">
        <f t="shared" si="6"/>
        <v>14108.11</v>
      </c>
      <c r="N110" s="48">
        <f>ROUND(IF(MONTH($A110)=12,2.333,1)*VLOOKUP($A110,'Página7'!$A$1:$AA$27,COLUMN(),TRUE),2)</f>
        <v>21162.08</v>
      </c>
      <c r="O110" s="48">
        <f>ROUND(IF(MONTH($A110)=12,2.333,1)*VLOOKUP($A110,'Página7'!$A$1:$AA$27,COLUMN(),TRUE),2)</f>
        <v>10652.51</v>
      </c>
      <c r="P110" s="48">
        <f>VLOOKUP($A110,'Página7'!$A$1:$AA$27,COLUMN(),TRUE)</f>
        <v>29761.03</v>
      </c>
      <c r="Q110" s="48">
        <f>VLOOKUP($A110,'Página7'!$A$1:$AA$27,COLUMN(),TRUE)</f>
        <v>14247.49</v>
      </c>
      <c r="R110" s="48">
        <f>VLOOKUP($A110,'Página7'!$A$1:$AA$27,COLUMN(),TRUE)</f>
        <v>29760.95</v>
      </c>
      <c r="S110" s="48">
        <f>VLOOKUP($A110,'Página7'!$A$1:$AA$27,COLUMN(),TRUE)</f>
        <v>5000</v>
      </c>
      <c r="T110" s="48">
        <f>VLOOKUP($A110,'Página7'!$A$1:$AA$27,COLUMN(),TRUE)</f>
        <v>17740.89</v>
      </c>
      <c r="U110" s="48">
        <f>VLOOKUP($A110,'Página7'!$A$1:$AA$27,COLUMN(),TRUE)</f>
        <v>3000</v>
      </c>
      <c r="V110" s="48">
        <f>VLOOKUP($A110,'Página7'!$A$1:$AA$27,COLUMN(),TRUE)</f>
        <v>19209.43475</v>
      </c>
      <c r="W110" s="48">
        <f>VLOOKUP($A110,'Página7'!$A$1:$AA$27,COLUMN(),TRUE)</f>
        <v>10329.43025</v>
      </c>
      <c r="X110" s="48">
        <f>VLOOKUP($A110,'Página7'!$A$1:$AA$27,COLUMN(),TRUE)</f>
        <v>19209.39125</v>
      </c>
      <c r="Y110" s="48">
        <f>VLOOKUP($A110,'Página7'!$A$1:$AA$27,COLUMN(),TRUE)</f>
        <v>3625</v>
      </c>
      <c r="Z110" s="48">
        <f>VLOOKUP($A110,'Página7'!$A$1:$AA$27,COLUMN(),TRUE)</f>
        <v>12150.61</v>
      </c>
      <c r="AA110" s="48">
        <f>VLOOKUP($A110,'Página7'!$A$1:$AA$27,COLUMN(),TRUE)</f>
        <v>2175</v>
      </c>
    </row>
    <row r="111">
      <c r="A111" s="34">
        <v>45689.0</v>
      </c>
      <c r="B111" s="48">
        <f>ROUND(IF(MONTH($A111)=12,2.333,1)*VLOOKUP($A111,'Página7'!$A$1:$AA$27,COLUMN(),TRUE),2)</f>
        <v>46366.19</v>
      </c>
      <c r="C111" s="48">
        <f t="shared" si="7"/>
        <v>45951.07</v>
      </c>
      <c r="D111" s="48">
        <f>ROUND(IF(MONTH($A111)=12,2.333,1)*VLOOKUP($A111,'Página7'!$A$1:$AA$27,COLUMN(),TRUE),2)</f>
        <v>34732.87</v>
      </c>
      <c r="E111" s="48">
        <f t="shared" si="2"/>
        <v>36060.95</v>
      </c>
      <c r="F111" s="48">
        <f t="shared" si="3"/>
        <v>21520.89</v>
      </c>
      <c r="G111" s="48">
        <f>ROUND(IF(MONTH($A111)=12,2.333,1)*VLOOKUP($A111,'Página7'!$A$1:$AA$27,COLUMN(),TRUE),2)</f>
        <v>33086.1</v>
      </c>
      <c r="H111" s="48">
        <f>ROUND(IF(MONTH($A111)=12,2.333,1)*VLOOKUP($A111,'Página7'!$A$1:$AA$27,COLUMN(),TRUE),2)</f>
        <v>15189.85</v>
      </c>
      <c r="I111" s="48">
        <f>ROUND(IF(MONTH($A111)=12,2.333,1)*VLOOKUP($A111,'Página7'!$A$1:$AA$27,COLUMN(),TRUE),2)</f>
        <v>28960.82</v>
      </c>
      <c r="J111" s="48">
        <f t="shared" si="8"/>
        <v>30947.21</v>
      </c>
      <c r="K111" s="48">
        <f>ROUND(IF(MONTH($A111)=12,2.333,1)*VLOOKUP($A111,'Página7'!$A$1:$AA$27,COLUMN(),TRUE),2)</f>
        <v>22129.15</v>
      </c>
      <c r="L111" s="48">
        <f t="shared" si="5"/>
        <v>23776.89</v>
      </c>
      <c r="M111" s="48">
        <f t="shared" si="6"/>
        <v>14891.11</v>
      </c>
      <c r="N111" s="48">
        <f>ROUND(IF(MONTH($A111)=12,2.333,1)*VLOOKUP($A111,'Página7'!$A$1:$AA$27,COLUMN(),TRUE),2)</f>
        <v>21162.08</v>
      </c>
      <c r="O111" s="48">
        <f>ROUND(IF(MONTH($A111)=12,2.333,1)*VLOOKUP($A111,'Página7'!$A$1:$AA$27,COLUMN(),TRUE),2)</f>
        <v>10652.51</v>
      </c>
      <c r="P111" s="48">
        <f>VLOOKUP($A111,'Página7'!$A$1:$AA$27,COLUMN(),TRUE)</f>
        <v>29761.03</v>
      </c>
      <c r="Q111" s="48">
        <f>VLOOKUP($A111,'Página7'!$A$1:$AA$27,COLUMN(),TRUE)</f>
        <v>16605.16</v>
      </c>
      <c r="R111" s="48">
        <f>VLOOKUP($A111,'Página7'!$A$1:$AA$27,COLUMN(),TRUE)</f>
        <v>29760.95</v>
      </c>
      <c r="S111" s="48">
        <f>VLOOKUP($A111,'Página7'!$A$1:$AA$27,COLUMN(),TRUE)</f>
        <v>7000</v>
      </c>
      <c r="T111" s="48">
        <f>VLOOKUP($A111,'Página7'!$A$1:$AA$27,COLUMN(),TRUE)</f>
        <v>17740.89</v>
      </c>
      <c r="U111" s="48">
        <f>VLOOKUP($A111,'Página7'!$A$1:$AA$27,COLUMN(),TRUE)</f>
        <v>4200</v>
      </c>
      <c r="V111" s="48">
        <f>VLOOKUP($A111,'Página7'!$A$1:$AA$27,COLUMN(),TRUE)</f>
        <v>19209.43475</v>
      </c>
      <c r="W111" s="48">
        <f>VLOOKUP($A111,'Página7'!$A$1:$AA$27,COLUMN(),TRUE)</f>
        <v>12038.741</v>
      </c>
      <c r="X111" s="48">
        <f>VLOOKUP($A111,'Página7'!$A$1:$AA$27,COLUMN(),TRUE)</f>
        <v>19209.39125</v>
      </c>
      <c r="Y111" s="48">
        <f>VLOOKUP($A111,'Página7'!$A$1:$AA$27,COLUMN(),TRUE)</f>
        <v>5075</v>
      </c>
      <c r="Z111" s="48">
        <f>VLOOKUP($A111,'Página7'!$A$1:$AA$27,COLUMN(),TRUE)</f>
        <v>12150.61</v>
      </c>
      <c r="AA111" s="48">
        <f>VLOOKUP($A111,'Página7'!$A$1:$AA$27,COLUMN(),TRUE)</f>
        <v>3045</v>
      </c>
    </row>
    <row r="112">
      <c r="A112" s="34">
        <v>45717.0</v>
      </c>
      <c r="B112" s="48">
        <f>ROUND(IF(MONTH($A112)=12,2.333,1)*VLOOKUP($A112,'Página7'!$A$1:$AA$27,COLUMN(),TRUE),2)</f>
        <v>46366.19</v>
      </c>
      <c r="C112" s="48">
        <f t="shared" si="7"/>
        <v>45951.07</v>
      </c>
      <c r="D112" s="48">
        <f>ROUND(IF(MONTH($A112)=12,2.333,1)*VLOOKUP($A112,'Página7'!$A$1:$AA$27,COLUMN(),TRUE),2)</f>
        <v>34732.87</v>
      </c>
      <c r="E112" s="48">
        <f t="shared" si="2"/>
        <v>36060.95</v>
      </c>
      <c r="F112" s="48">
        <f t="shared" si="3"/>
        <v>21520.89</v>
      </c>
      <c r="G112" s="48">
        <f>ROUND(IF(MONTH($A112)=12,2.333,1)*VLOOKUP($A112,'Página7'!$A$1:$AA$27,COLUMN(),TRUE),2)</f>
        <v>33086.1</v>
      </c>
      <c r="H112" s="48">
        <f>ROUND(IF(MONTH($A112)=12,2.333,1)*VLOOKUP($A112,'Página7'!$A$1:$AA$27,COLUMN(),TRUE),2)</f>
        <v>15189.85</v>
      </c>
      <c r="I112" s="48">
        <f>ROUND(IF(MONTH($A112)=12,2.333,1)*VLOOKUP($A112,'Página7'!$A$1:$AA$27,COLUMN(),TRUE),2)</f>
        <v>28960.82</v>
      </c>
      <c r="J112" s="48">
        <f t="shared" si="8"/>
        <v>30947.21</v>
      </c>
      <c r="K112" s="48">
        <f>ROUND(IF(MONTH($A112)=12,2.333,1)*VLOOKUP($A112,'Página7'!$A$1:$AA$27,COLUMN(),TRUE),2)</f>
        <v>22129.15</v>
      </c>
      <c r="L112" s="48">
        <f t="shared" si="5"/>
        <v>23776.89</v>
      </c>
      <c r="M112" s="48">
        <f t="shared" si="6"/>
        <v>14891.11</v>
      </c>
      <c r="N112" s="48">
        <f>ROUND(IF(MONTH($A112)=12,2.333,1)*VLOOKUP($A112,'Página7'!$A$1:$AA$27,COLUMN(),TRUE),2)</f>
        <v>21162.08</v>
      </c>
      <c r="O112" s="48">
        <f>ROUND(IF(MONTH($A112)=12,2.333,1)*VLOOKUP($A112,'Página7'!$A$1:$AA$27,COLUMN(),TRUE),2)</f>
        <v>10652.51</v>
      </c>
      <c r="P112" s="48">
        <f>VLOOKUP($A112,'Página7'!$A$1:$AA$27,COLUMN(),TRUE)</f>
        <v>29761.03</v>
      </c>
      <c r="Q112" s="48">
        <f>VLOOKUP($A112,'Página7'!$A$1:$AA$27,COLUMN(),TRUE)</f>
        <v>16605.16</v>
      </c>
      <c r="R112" s="48">
        <f>VLOOKUP($A112,'Página7'!$A$1:$AA$27,COLUMN(),TRUE)</f>
        <v>29760.95</v>
      </c>
      <c r="S112" s="48">
        <f>VLOOKUP($A112,'Página7'!$A$1:$AA$27,COLUMN(),TRUE)</f>
        <v>7000</v>
      </c>
      <c r="T112" s="48">
        <f>VLOOKUP($A112,'Página7'!$A$1:$AA$27,COLUMN(),TRUE)</f>
        <v>17740.89</v>
      </c>
      <c r="U112" s="48">
        <f>VLOOKUP($A112,'Página7'!$A$1:$AA$27,COLUMN(),TRUE)</f>
        <v>4200</v>
      </c>
      <c r="V112" s="48">
        <f>VLOOKUP($A112,'Página7'!$A$1:$AA$27,COLUMN(),TRUE)</f>
        <v>19209.43475</v>
      </c>
      <c r="W112" s="48">
        <f>VLOOKUP($A112,'Página7'!$A$1:$AA$27,COLUMN(),TRUE)</f>
        <v>12038.741</v>
      </c>
      <c r="X112" s="48">
        <f>VLOOKUP($A112,'Página7'!$A$1:$AA$27,COLUMN(),TRUE)</f>
        <v>19209.39125</v>
      </c>
      <c r="Y112" s="48">
        <f>VLOOKUP($A112,'Página7'!$A$1:$AA$27,COLUMN(),TRUE)</f>
        <v>5075</v>
      </c>
      <c r="Z112" s="48">
        <f>VLOOKUP($A112,'Página7'!$A$1:$AA$27,COLUMN(),TRUE)</f>
        <v>12150.61</v>
      </c>
      <c r="AA112" s="48">
        <f>VLOOKUP($A112,'Página7'!$A$1:$AA$27,COLUMN(),TRUE)</f>
        <v>3045</v>
      </c>
    </row>
    <row r="113">
      <c r="A113" s="34">
        <v>45748.0</v>
      </c>
      <c r="B113" s="48">
        <f>ROUND(IF(MONTH($A113)=12,2.333,1)*VLOOKUP($A113,'Página7'!$A$1:$AA$27,COLUMN(),TRUE),2)</f>
        <v>46366.19</v>
      </c>
      <c r="C113" s="48">
        <f t="shared" si="7"/>
        <v>45951.07</v>
      </c>
      <c r="D113" s="48">
        <f>ROUND(IF(MONTH($A113)=12,2.333,1)*VLOOKUP($A113,'Página7'!$A$1:$AA$27,COLUMN(),TRUE),2)</f>
        <v>34732.87</v>
      </c>
      <c r="E113" s="48">
        <f t="shared" si="2"/>
        <v>36060.95</v>
      </c>
      <c r="F113" s="48">
        <f t="shared" si="3"/>
        <v>21520.89</v>
      </c>
      <c r="G113" s="48">
        <f>ROUND(IF(MONTH($A113)=12,2.333,1)*VLOOKUP($A113,'Página7'!$A$1:$AA$27,COLUMN(),TRUE),2)</f>
        <v>33086.1</v>
      </c>
      <c r="H113" s="48">
        <f>ROUND(IF(MONTH($A113)=12,2.333,1)*VLOOKUP($A113,'Página7'!$A$1:$AA$27,COLUMN(),TRUE),2)</f>
        <v>15189.85</v>
      </c>
      <c r="I113" s="48">
        <f>ROUND(IF(MONTH($A113)=12,2.333,1)*VLOOKUP($A113,'Página7'!$A$1:$AA$27,COLUMN(),TRUE),2)</f>
        <v>28960.82</v>
      </c>
      <c r="J113" s="48">
        <f t="shared" si="8"/>
        <v>30947.21</v>
      </c>
      <c r="K113" s="48">
        <f>ROUND(IF(MONTH($A113)=12,2.333,1)*VLOOKUP($A113,'Página7'!$A$1:$AA$27,COLUMN(),TRUE),2)</f>
        <v>22129.15</v>
      </c>
      <c r="L113" s="48">
        <f t="shared" si="5"/>
        <v>23776.89</v>
      </c>
      <c r="M113" s="48">
        <f t="shared" si="6"/>
        <v>14891.11</v>
      </c>
      <c r="N113" s="48">
        <f>ROUND(IF(MONTH($A113)=12,2.333,1)*VLOOKUP($A113,'Página7'!$A$1:$AA$27,COLUMN(),TRUE),2)</f>
        <v>21162.08</v>
      </c>
      <c r="O113" s="48">
        <f>ROUND(IF(MONTH($A113)=12,2.333,1)*VLOOKUP($A113,'Página7'!$A$1:$AA$27,COLUMN(),TRUE),2)</f>
        <v>10652.51</v>
      </c>
      <c r="P113" s="48">
        <f>VLOOKUP($A113,'Página7'!$A$1:$AA$27,COLUMN(),TRUE)</f>
        <v>29761.03</v>
      </c>
      <c r="Q113" s="48">
        <f>VLOOKUP($A113,'Página7'!$A$1:$AA$27,COLUMN(),TRUE)</f>
        <v>16605.16</v>
      </c>
      <c r="R113" s="48">
        <f>VLOOKUP($A113,'Página7'!$A$1:$AA$27,COLUMN(),TRUE)</f>
        <v>29760.95</v>
      </c>
      <c r="S113" s="48">
        <f>VLOOKUP($A113,'Página7'!$A$1:$AA$27,COLUMN(),TRUE)</f>
        <v>7000</v>
      </c>
      <c r="T113" s="48">
        <f>VLOOKUP($A113,'Página7'!$A$1:$AA$27,COLUMN(),TRUE)</f>
        <v>17740.89</v>
      </c>
      <c r="U113" s="48">
        <f>VLOOKUP($A113,'Página7'!$A$1:$AA$27,COLUMN(),TRUE)</f>
        <v>4200</v>
      </c>
      <c r="V113" s="48">
        <f>VLOOKUP($A113,'Página7'!$A$1:$AA$27,COLUMN(),TRUE)</f>
        <v>19209.43475</v>
      </c>
      <c r="W113" s="48">
        <f>VLOOKUP($A113,'Página7'!$A$1:$AA$27,COLUMN(),TRUE)</f>
        <v>12038.741</v>
      </c>
      <c r="X113" s="48">
        <f>VLOOKUP($A113,'Página7'!$A$1:$AA$27,COLUMN(),TRUE)</f>
        <v>19209.39125</v>
      </c>
      <c r="Y113" s="48">
        <f>VLOOKUP($A113,'Página7'!$A$1:$AA$27,COLUMN(),TRUE)</f>
        <v>5075</v>
      </c>
      <c r="Z113" s="48">
        <f>VLOOKUP($A113,'Página7'!$A$1:$AA$27,COLUMN(),TRUE)</f>
        <v>12150.61</v>
      </c>
      <c r="AA113" s="48">
        <f>VLOOKUP($A113,'Página7'!$A$1:$AA$27,COLUMN(),TRUE)</f>
        <v>3045</v>
      </c>
    </row>
    <row r="114">
      <c r="A114" s="34">
        <v>45778.0</v>
      </c>
      <c r="B114" s="48">
        <f>ROUND(IF(MONTH($A114)=12,2.333,1)*VLOOKUP($A114,'Página7'!$A$1:$AA$27,COLUMN(),TRUE),2)</f>
        <v>46366.19</v>
      </c>
      <c r="C114" s="48">
        <f t="shared" si="7"/>
        <v>45951.07</v>
      </c>
      <c r="D114" s="48">
        <f>ROUND(IF(MONTH($A114)=12,2.333,1)*VLOOKUP($A114,'Página7'!$A$1:$AA$27,COLUMN(),TRUE),2)</f>
        <v>36469.51</v>
      </c>
      <c r="E114" s="48">
        <f t="shared" si="2"/>
        <v>36060.95</v>
      </c>
      <c r="F114" s="48">
        <f t="shared" si="3"/>
        <v>21520.89</v>
      </c>
      <c r="G114" s="48">
        <f>ROUND(IF(MONTH($A114)=12,2.333,1)*VLOOKUP($A114,'Página7'!$A$1:$AA$27,COLUMN(),TRUE),2)</f>
        <v>33086.1</v>
      </c>
      <c r="H114" s="48">
        <f>ROUND(IF(MONTH($A114)=12,2.333,1)*VLOOKUP($A114,'Página7'!$A$1:$AA$27,COLUMN(),TRUE),2)</f>
        <v>15189.85</v>
      </c>
      <c r="I114" s="48">
        <f>ROUND(IF(MONTH($A114)=12,2.333,1)*VLOOKUP($A114,'Página7'!$A$1:$AA$27,COLUMN(),TRUE),2)</f>
        <v>28960.82</v>
      </c>
      <c r="J114" s="48">
        <f t="shared" si="8"/>
        <v>30947.21</v>
      </c>
      <c r="K114" s="48">
        <f>ROUND(IF(MONTH($A114)=12,2.333,1)*VLOOKUP($A114,'Página7'!$A$1:$AA$27,COLUMN(),TRUE),2)</f>
        <v>23148.99</v>
      </c>
      <c r="L114" s="48">
        <f t="shared" si="5"/>
        <v>23776.89</v>
      </c>
      <c r="M114" s="48">
        <f t="shared" si="6"/>
        <v>14891.11</v>
      </c>
      <c r="N114" s="48">
        <f>ROUND(IF(MONTH($A114)=12,2.333,1)*VLOOKUP($A114,'Página7'!$A$1:$AA$27,COLUMN(),TRUE),2)</f>
        <v>21162.08</v>
      </c>
      <c r="O114" s="48">
        <f>ROUND(IF(MONTH($A114)=12,2.333,1)*VLOOKUP($A114,'Página7'!$A$1:$AA$27,COLUMN(),TRUE),2)</f>
        <v>10652.51</v>
      </c>
      <c r="P114" s="48">
        <f>VLOOKUP($A114,'Página7'!$A$1:$AA$27,COLUMN(),TRUE)</f>
        <v>29761.03</v>
      </c>
      <c r="Q114" s="48">
        <f>VLOOKUP($A114,'Página7'!$A$1:$AA$27,COLUMN(),TRUE)</f>
        <v>16605.16</v>
      </c>
      <c r="R114" s="48">
        <f>VLOOKUP($A114,'Página7'!$A$1:$AA$27,COLUMN(),TRUE)</f>
        <v>29760.95</v>
      </c>
      <c r="S114" s="48">
        <f>VLOOKUP($A114,'Página7'!$A$1:$AA$27,COLUMN(),TRUE)</f>
        <v>7000</v>
      </c>
      <c r="T114" s="48">
        <f>VLOOKUP($A114,'Página7'!$A$1:$AA$27,COLUMN(),TRUE)</f>
        <v>17740.89</v>
      </c>
      <c r="U114" s="48">
        <f>VLOOKUP($A114,'Página7'!$A$1:$AA$27,COLUMN(),TRUE)</f>
        <v>4200</v>
      </c>
      <c r="V114" s="48">
        <f>VLOOKUP($A114,'Página7'!$A$1:$AA$27,COLUMN(),TRUE)</f>
        <v>19209.43475</v>
      </c>
      <c r="W114" s="48">
        <f>VLOOKUP($A114,'Página7'!$A$1:$AA$27,COLUMN(),TRUE)</f>
        <v>12038.741</v>
      </c>
      <c r="X114" s="48">
        <f>VLOOKUP($A114,'Página7'!$A$1:$AA$27,COLUMN(),TRUE)</f>
        <v>19209.39125</v>
      </c>
      <c r="Y114" s="48">
        <f>VLOOKUP($A114,'Página7'!$A$1:$AA$27,COLUMN(),TRUE)</f>
        <v>5075</v>
      </c>
      <c r="Z114" s="48">
        <f>VLOOKUP($A114,'Página7'!$A$1:$AA$27,COLUMN(),TRUE)</f>
        <v>12150.61</v>
      </c>
      <c r="AA114" s="48">
        <f>VLOOKUP($A114,'Página7'!$A$1:$AA$27,COLUMN(),TRUE)</f>
        <v>3045</v>
      </c>
    </row>
    <row r="115">
      <c r="A115" s="34">
        <v>45809.0</v>
      </c>
      <c r="B115" s="48">
        <f>ROUND(IF(MONTH($A115)=12,2.333,1)*VLOOKUP($A115,'Página7'!$A$1:$AA$27,COLUMN(),TRUE),2)</f>
        <v>46366.19</v>
      </c>
      <c r="C115" s="48">
        <f t="shared" si="7"/>
        <v>45951.07</v>
      </c>
      <c r="D115" s="48">
        <f>ROUND(IF(MONTH($A115)=12,2.333,1)*VLOOKUP($A115,'Página7'!$A$1:$AA$27,COLUMN(),TRUE),2)</f>
        <v>36469.51</v>
      </c>
      <c r="E115" s="48">
        <f t="shared" si="2"/>
        <v>36060.95</v>
      </c>
      <c r="F115" s="48">
        <f t="shared" si="3"/>
        <v>21520.89</v>
      </c>
      <c r="G115" s="48">
        <f>ROUND(IF(MONTH($A115)=12,2.333,1)*VLOOKUP($A115,'Página7'!$A$1:$AA$27,COLUMN(),TRUE),2)</f>
        <v>33086.1</v>
      </c>
      <c r="H115" s="48">
        <f>ROUND(IF(MONTH($A115)=12,2.333,1)*VLOOKUP($A115,'Página7'!$A$1:$AA$27,COLUMN(),TRUE),2)</f>
        <v>15189.85</v>
      </c>
      <c r="I115" s="48">
        <f>ROUND(IF(MONTH($A115)=12,2.333,1)*VLOOKUP($A115,'Página7'!$A$1:$AA$27,COLUMN(),TRUE),2)</f>
        <v>28960.82</v>
      </c>
      <c r="J115" s="48">
        <f t="shared" si="8"/>
        <v>30947.21</v>
      </c>
      <c r="K115" s="48">
        <f>ROUND(IF(MONTH($A115)=12,2.333,1)*VLOOKUP($A115,'Página7'!$A$1:$AA$27,COLUMN(),TRUE),2)</f>
        <v>23148.99</v>
      </c>
      <c r="L115" s="48">
        <f t="shared" si="5"/>
        <v>23776.89</v>
      </c>
      <c r="M115" s="48">
        <f t="shared" si="6"/>
        <v>14891.11</v>
      </c>
      <c r="N115" s="48">
        <f>ROUND(IF(MONTH($A115)=12,2.333,1)*VLOOKUP($A115,'Página7'!$A$1:$AA$27,COLUMN(),TRUE),2)</f>
        <v>21162.08</v>
      </c>
      <c r="O115" s="48">
        <f>ROUND(IF(MONTH($A115)=12,2.333,1)*VLOOKUP($A115,'Página7'!$A$1:$AA$27,COLUMN(),TRUE),2)</f>
        <v>10652.51</v>
      </c>
      <c r="P115" s="48">
        <f>VLOOKUP($A115,'Página7'!$A$1:$AA$27,COLUMN(),TRUE)</f>
        <v>29761.03</v>
      </c>
      <c r="Q115" s="48">
        <f>VLOOKUP($A115,'Página7'!$A$1:$AA$27,COLUMN(),TRUE)</f>
        <v>16605.16</v>
      </c>
      <c r="R115" s="48">
        <f>VLOOKUP($A115,'Página7'!$A$1:$AA$27,COLUMN(),TRUE)</f>
        <v>29760.95</v>
      </c>
      <c r="S115" s="48">
        <f>VLOOKUP($A115,'Página7'!$A$1:$AA$27,COLUMN(),TRUE)</f>
        <v>7000</v>
      </c>
      <c r="T115" s="48">
        <f>VLOOKUP($A115,'Página7'!$A$1:$AA$27,COLUMN(),TRUE)</f>
        <v>17740.89</v>
      </c>
      <c r="U115" s="48">
        <f>VLOOKUP($A115,'Página7'!$A$1:$AA$27,COLUMN(),TRUE)</f>
        <v>4200</v>
      </c>
      <c r="V115" s="48">
        <f>VLOOKUP($A115,'Página7'!$A$1:$AA$27,COLUMN(),TRUE)</f>
        <v>19209.43475</v>
      </c>
      <c r="W115" s="48">
        <f>VLOOKUP($A115,'Página7'!$A$1:$AA$27,COLUMN(),TRUE)</f>
        <v>12038.741</v>
      </c>
      <c r="X115" s="48">
        <f>VLOOKUP($A115,'Página7'!$A$1:$AA$27,COLUMN(),TRUE)</f>
        <v>19209.39125</v>
      </c>
      <c r="Y115" s="48">
        <f>VLOOKUP($A115,'Página7'!$A$1:$AA$27,COLUMN(),TRUE)</f>
        <v>5075</v>
      </c>
      <c r="Z115" s="48">
        <f>VLOOKUP($A115,'Página7'!$A$1:$AA$27,COLUMN(),TRUE)</f>
        <v>12150.61</v>
      </c>
      <c r="AA115" s="48">
        <f>VLOOKUP($A115,'Página7'!$A$1:$AA$27,COLUMN(),TRUE)</f>
        <v>3045</v>
      </c>
    </row>
    <row r="116">
      <c r="A116" s="34">
        <v>45839.0</v>
      </c>
      <c r="B116" s="48">
        <f>ROUND(IF(MONTH($A116)=12,2.333,1)*VLOOKUP($A116,'Página7'!$A$1:$AA$27,COLUMN(),TRUE),2)</f>
        <v>46366.19</v>
      </c>
      <c r="C116" s="48">
        <f t="shared" si="7"/>
        <v>45951.07</v>
      </c>
      <c r="D116" s="48">
        <f>ROUND(IF(MONTH($A116)=12,2.333,1)*VLOOKUP($A116,'Página7'!$A$1:$AA$27,COLUMN(),TRUE),2)</f>
        <v>36469.51</v>
      </c>
      <c r="E116" s="48">
        <f t="shared" si="2"/>
        <v>36060.95</v>
      </c>
      <c r="F116" s="48">
        <f t="shared" si="3"/>
        <v>21520.89</v>
      </c>
      <c r="G116" s="48">
        <f>ROUND(IF(MONTH($A116)=12,2.333,1)*VLOOKUP($A116,'Página7'!$A$1:$AA$27,COLUMN(),TRUE),2)</f>
        <v>33086.1</v>
      </c>
      <c r="H116" s="48">
        <f>ROUND(IF(MONTH($A116)=12,2.333,1)*VLOOKUP($A116,'Página7'!$A$1:$AA$27,COLUMN(),TRUE),2)</f>
        <v>15189.85</v>
      </c>
      <c r="I116" s="48">
        <f>ROUND(IF(MONTH($A116)=12,2.333,1)*VLOOKUP($A116,'Página7'!$A$1:$AA$27,COLUMN(),TRUE),2)</f>
        <v>28960.82</v>
      </c>
      <c r="J116" s="48">
        <f t="shared" si="8"/>
        <v>30947.21</v>
      </c>
      <c r="K116" s="48">
        <f>ROUND(IF(MONTH($A116)=12,2.333,1)*VLOOKUP($A116,'Página7'!$A$1:$AA$27,COLUMN(),TRUE),2)</f>
        <v>23148.99</v>
      </c>
      <c r="L116" s="48">
        <f t="shared" si="5"/>
        <v>23776.89</v>
      </c>
      <c r="M116" s="48">
        <f t="shared" si="6"/>
        <v>14891.11</v>
      </c>
      <c r="N116" s="48">
        <f>ROUND(IF(MONTH($A116)=12,2.333,1)*VLOOKUP($A116,'Página7'!$A$1:$AA$27,COLUMN(),TRUE),2)</f>
        <v>21162.08</v>
      </c>
      <c r="O116" s="48">
        <f>ROUND(IF(MONTH($A116)=12,2.333,1)*VLOOKUP($A116,'Página7'!$A$1:$AA$27,COLUMN(),TRUE),2)</f>
        <v>10652.51</v>
      </c>
      <c r="P116" s="48">
        <f>VLOOKUP($A116,'Página7'!$A$1:$AA$27,COLUMN(),TRUE)</f>
        <v>29761.03</v>
      </c>
      <c r="Q116" s="48">
        <f>VLOOKUP($A116,'Página7'!$A$1:$AA$27,COLUMN(),TRUE)</f>
        <v>16605.16</v>
      </c>
      <c r="R116" s="48">
        <f>VLOOKUP($A116,'Página7'!$A$1:$AA$27,COLUMN(),TRUE)</f>
        <v>29760.95</v>
      </c>
      <c r="S116" s="48">
        <f>VLOOKUP($A116,'Página7'!$A$1:$AA$27,COLUMN(),TRUE)</f>
        <v>7000</v>
      </c>
      <c r="T116" s="48">
        <f>VLOOKUP($A116,'Página7'!$A$1:$AA$27,COLUMN(),TRUE)</f>
        <v>17740.89</v>
      </c>
      <c r="U116" s="48">
        <f>VLOOKUP($A116,'Página7'!$A$1:$AA$27,COLUMN(),TRUE)</f>
        <v>4200</v>
      </c>
      <c r="V116" s="48">
        <f>VLOOKUP($A116,'Página7'!$A$1:$AA$27,COLUMN(),TRUE)</f>
        <v>19209.43475</v>
      </c>
      <c r="W116" s="48">
        <f>VLOOKUP($A116,'Página7'!$A$1:$AA$27,COLUMN(),TRUE)</f>
        <v>12038.741</v>
      </c>
      <c r="X116" s="48">
        <f>VLOOKUP($A116,'Página7'!$A$1:$AA$27,COLUMN(),TRUE)</f>
        <v>19209.39125</v>
      </c>
      <c r="Y116" s="48">
        <f>VLOOKUP($A116,'Página7'!$A$1:$AA$27,COLUMN(),TRUE)</f>
        <v>5075</v>
      </c>
      <c r="Z116" s="48">
        <f>VLOOKUP($A116,'Página7'!$A$1:$AA$27,COLUMN(),TRUE)</f>
        <v>12150.61</v>
      </c>
      <c r="AA116" s="48">
        <f>VLOOKUP($A116,'Página7'!$A$1:$AA$27,COLUMN(),TRUE)</f>
        <v>3045</v>
      </c>
    </row>
    <row r="117">
      <c r="A117" s="34">
        <v>45870.0</v>
      </c>
      <c r="B117" s="48">
        <f>ROUND(IF(MONTH($A117)=12,2.333,1)*VLOOKUP($A117,'Página7'!$A$1:$AA$27,COLUMN(),TRUE),2)</f>
        <v>46366.19</v>
      </c>
      <c r="C117" s="48">
        <f t="shared" si="7"/>
        <v>45951.07</v>
      </c>
      <c r="D117" s="48">
        <f>ROUND(IF(MONTH($A117)=12,2.333,1)*VLOOKUP($A117,'Página7'!$A$1:$AA$27,COLUMN(),TRUE),2)</f>
        <v>36469.51</v>
      </c>
      <c r="E117" s="48">
        <f t="shared" si="2"/>
        <v>36060.95</v>
      </c>
      <c r="F117" s="48">
        <f t="shared" si="3"/>
        <v>21520.89</v>
      </c>
      <c r="G117" s="48">
        <f>ROUND(IF(MONTH($A117)=12,2.333,1)*VLOOKUP($A117,'Página7'!$A$1:$AA$27,COLUMN(),TRUE),2)</f>
        <v>33086.1</v>
      </c>
      <c r="H117" s="48">
        <f>ROUND(IF(MONTH($A117)=12,2.333,1)*VLOOKUP($A117,'Página7'!$A$1:$AA$27,COLUMN(),TRUE),2)</f>
        <v>15189.85</v>
      </c>
      <c r="I117" s="48">
        <f>ROUND(IF(MONTH($A117)=12,2.333,1)*VLOOKUP($A117,'Página7'!$A$1:$AA$27,COLUMN(),TRUE),2)</f>
        <v>28960.82</v>
      </c>
      <c r="J117" s="48">
        <f t="shared" si="8"/>
        <v>30947.21</v>
      </c>
      <c r="K117" s="48">
        <f>ROUND(IF(MONTH($A117)=12,2.333,1)*VLOOKUP($A117,'Página7'!$A$1:$AA$27,COLUMN(),TRUE),2)</f>
        <v>23148.99</v>
      </c>
      <c r="L117" s="48">
        <f t="shared" si="5"/>
        <v>23776.89</v>
      </c>
      <c r="M117" s="48">
        <f t="shared" si="6"/>
        <v>14891.11</v>
      </c>
      <c r="N117" s="48">
        <f>ROUND(IF(MONTH($A117)=12,2.333,1)*VLOOKUP($A117,'Página7'!$A$1:$AA$27,COLUMN(),TRUE),2)</f>
        <v>21162.08</v>
      </c>
      <c r="O117" s="48">
        <f>ROUND(IF(MONTH($A117)=12,2.333,1)*VLOOKUP($A117,'Página7'!$A$1:$AA$27,COLUMN(),TRUE),2)</f>
        <v>10652.51</v>
      </c>
      <c r="P117" s="48">
        <f>VLOOKUP($A117,'Página7'!$A$1:$AA$27,COLUMN(),TRUE)</f>
        <v>29761.03</v>
      </c>
      <c r="Q117" s="48">
        <f>VLOOKUP($A117,'Página7'!$A$1:$AA$27,COLUMN(),TRUE)</f>
        <v>16605.16</v>
      </c>
      <c r="R117" s="48">
        <f>VLOOKUP($A117,'Página7'!$A$1:$AA$27,COLUMN(),TRUE)</f>
        <v>29760.95</v>
      </c>
      <c r="S117" s="48">
        <f>VLOOKUP($A117,'Página7'!$A$1:$AA$27,COLUMN(),TRUE)</f>
        <v>7000</v>
      </c>
      <c r="T117" s="48">
        <f>VLOOKUP($A117,'Página7'!$A$1:$AA$27,COLUMN(),TRUE)</f>
        <v>17740.89</v>
      </c>
      <c r="U117" s="48">
        <f>VLOOKUP($A117,'Página7'!$A$1:$AA$27,COLUMN(),TRUE)</f>
        <v>4200</v>
      </c>
      <c r="V117" s="48">
        <f>VLOOKUP($A117,'Página7'!$A$1:$AA$27,COLUMN(),TRUE)</f>
        <v>19209.43475</v>
      </c>
      <c r="W117" s="48">
        <f>VLOOKUP($A117,'Página7'!$A$1:$AA$27,COLUMN(),TRUE)</f>
        <v>12038.741</v>
      </c>
      <c r="X117" s="48">
        <f>VLOOKUP($A117,'Página7'!$A$1:$AA$27,COLUMN(),TRUE)</f>
        <v>19209.39125</v>
      </c>
      <c r="Y117" s="48">
        <f>VLOOKUP($A117,'Página7'!$A$1:$AA$27,COLUMN(),TRUE)</f>
        <v>5075</v>
      </c>
      <c r="Z117" s="48">
        <f>VLOOKUP($A117,'Página7'!$A$1:$AA$27,COLUMN(),TRUE)</f>
        <v>12150.61</v>
      </c>
      <c r="AA117" s="48">
        <f>VLOOKUP($A117,'Página7'!$A$1:$AA$27,COLUMN(),TRUE)</f>
        <v>3045</v>
      </c>
    </row>
    <row r="118">
      <c r="A118" s="34">
        <v>45901.0</v>
      </c>
      <c r="B118" s="48">
        <f>ROUND(IF(MONTH($A118)=12,2.333,1)*VLOOKUP($A118,'Página7'!$A$1:$AA$27,COLUMN(),TRUE),2)</f>
        <v>46366.19</v>
      </c>
      <c r="C118" s="48">
        <f t="shared" si="7"/>
        <v>45951.07</v>
      </c>
      <c r="D118" s="48">
        <f>ROUND(IF(MONTH($A118)=12,2.333,1)*VLOOKUP($A118,'Página7'!$A$1:$AA$27,COLUMN(),TRUE),2)</f>
        <v>36469.51</v>
      </c>
      <c r="E118" s="48">
        <f t="shared" si="2"/>
        <v>36060.95</v>
      </c>
      <c r="F118" s="48">
        <f t="shared" si="3"/>
        <v>21520.89</v>
      </c>
      <c r="G118" s="48">
        <f>ROUND(IF(MONTH($A118)=12,2.333,1)*VLOOKUP($A118,'Página7'!$A$1:$AA$27,COLUMN(),TRUE),2)</f>
        <v>33086.1</v>
      </c>
      <c r="H118" s="48">
        <f>ROUND(IF(MONTH($A118)=12,2.333,1)*VLOOKUP($A118,'Página7'!$A$1:$AA$27,COLUMN(),TRUE),2)</f>
        <v>15189.85</v>
      </c>
      <c r="I118" s="48">
        <f>ROUND(IF(MONTH($A118)=12,2.333,1)*VLOOKUP($A118,'Página7'!$A$1:$AA$27,COLUMN(),TRUE),2)</f>
        <v>28960.82</v>
      </c>
      <c r="J118" s="48">
        <f t="shared" si="8"/>
        <v>30947.21</v>
      </c>
      <c r="K118" s="48">
        <f>ROUND(IF(MONTH($A118)=12,2.333,1)*VLOOKUP($A118,'Página7'!$A$1:$AA$27,COLUMN(),TRUE),2)</f>
        <v>23148.99</v>
      </c>
      <c r="L118" s="48">
        <f t="shared" si="5"/>
        <v>23776.89</v>
      </c>
      <c r="M118" s="48">
        <f t="shared" si="6"/>
        <v>14891.11</v>
      </c>
      <c r="N118" s="48">
        <f>ROUND(IF(MONTH($A118)=12,2.333,1)*VLOOKUP($A118,'Página7'!$A$1:$AA$27,COLUMN(),TRUE),2)</f>
        <v>21162.08</v>
      </c>
      <c r="O118" s="48">
        <f>ROUND(IF(MONTH($A118)=12,2.333,1)*VLOOKUP($A118,'Página7'!$A$1:$AA$27,COLUMN(),TRUE),2)</f>
        <v>10652.51</v>
      </c>
      <c r="P118" s="48">
        <f>VLOOKUP($A118,'Página7'!$A$1:$AA$27,COLUMN(),TRUE)</f>
        <v>29761.03</v>
      </c>
      <c r="Q118" s="48">
        <f>VLOOKUP($A118,'Página7'!$A$1:$AA$27,COLUMN(),TRUE)</f>
        <v>16605.16</v>
      </c>
      <c r="R118" s="48">
        <f>VLOOKUP($A118,'Página7'!$A$1:$AA$27,COLUMN(),TRUE)</f>
        <v>29760.95</v>
      </c>
      <c r="S118" s="48">
        <f>VLOOKUP($A118,'Página7'!$A$1:$AA$27,COLUMN(),TRUE)</f>
        <v>7000</v>
      </c>
      <c r="T118" s="48">
        <f>VLOOKUP($A118,'Página7'!$A$1:$AA$27,COLUMN(),TRUE)</f>
        <v>17740.89</v>
      </c>
      <c r="U118" s="48">
        <f>VLOOKUP($A118,'Página7'!$A$1:$AA$27,COLUMN(),TRUE)</f>
        <v>4200</v>
      </c>
      <c r="V118" s="48">
        <f>VLOOKUP($A118,'Página7'!$A$1:$AA$27,COLUMN(),TRUE)</f>
        <v>19209.43475</v>
      </c>
      <c r="W118" s="48">
        <f>VLOOKUP($A118,'Página7'!$A$1:$AA$27,COLUMN(),TRUE)</f>
        <v>12038.741</v>
      </c>
      <c r="X118" s="48">
        <f>VLOOKUP($A118,'Página7'!$A$1:$AA$27,COLUMN(),TRUE)</f>
        <v>19209.39125</v>
      </c>
      <c r="Y118" s="48">
        <f>VLOOKUP($A118,'Página7'!$A$1:$AA$27,COLUMN(),TRUE)</f>
        <v>5075</v>
      </c>
      <c r="Z118" s="48">
        <f>VLOOKUP($A118,'Página7'!$A$1:$AA$27,COLUMN(),TRUE)</f>
        <v>12150.61</v>
      </c>
      <c r="AA118" s="48">
        <f>VLOOKUP($A118,'Página7'!$A$1:$AA$27,COLUMN(),TRUE)</f>
        <v>3045</v>
      </c>
    </row>
    <row r="119">
      <c r="A119" s="34">
        <v>45931.0</v>
      </c>
      <c r="B119" s="48">
        <f>ROUND(IF(MONTH($A119)=12,2.333,1)*VLOOKUP($A119,'Página7'!$A$1:$AA$27,COLUMN(),TRUE),2)</f>
        <v>46366.19</v>
      </c>
      <c r="C119" s="48">
        <f t="shared" si="7"/>
        <v>45951.07</v>
      </c>
      <c r="D119" s="48">
        <f>ROUND(IF(MONTH($A119)=12,2.333,1)*VLOOKUP($A119,'Página7'!$A$1:$AA$27,COLUMN(),TRUE),2)</f>
        <v>36469.51</v>
      </c>
      <c r="E119" s="48">
        <f t="shared" si="2"/>
        <v>36060.95</v>
      </c>
      <c r="F119" s="48">
        <f t="shared" si="3"/>
        <v>21520.89</v>
      </c>
      <c r="G119" s="48">
        <f>ROUND(IF(MONTH($A119)=12,2.333,1)*VLOOKUP($A119,'Página7'!$A$1:$AA$27,COLUMN(),TRUE),2)</f>
        <v>33086.1</v>
      </c>
      <c r="H119" s="48">
        <f>ROUND(IF(MONTH($A119)=12,2.333,1)*VLOOKUP($A119,'Página7'!$A$1:$AA$27,COLUMN(),TRUE),2)</f>
        <v>15189.85</v>
      </c>
      <c r="I119" s="48">
        <f>ROUND(IF(MONTH($A119)=12,2.333,1)*VLOOKUP($A119,'Página7'!$A$1:$AA$27,COLUMN(),TRUE),2)</f>
        <v>28960.82</v>
      </c>
      <c r="J119" s="48">
        <f t="shared" si="8"/>
        <v>30947.21</v>
      </c>
      <c r="K119" s="48">
        <f>ROUND(IF(MONTH($A119)=12,2.333,1)*VLOOKUP($A119,'Página7'!$A$1:$AA$27,COLUMN(),TRUE),2)</f>
        <v>23148.99</v>
      </c>
      <c r="L119" s="48">
        <f t="shared" si="5"/>
        <v>23776.89</v>
      </c>
      <c r="M119" s="48">
        <f t="shared" si="6"/>
        <v>14891.11</v>
      </c>
      <c r="N119" s="48">
        <f>ROUND(IF(MONTH($A119)=12,2.333,1)*VLOOKUP($A119,'Página7'!$A$1:$AA$27,COLUMN(),TRUE),2)</f>
        <v>21162.08</v>
      </c>
      <c r="O119" s="48">
        <f>ROUND(IF(MONTH($A119)=12,2.333,1)*VLOOKUP($A119,'Página7'!$A$1:$AA$27,COLUMN(),TRUE),2)</f>
        <v>10652.51</v>
      </c>
      <c r="P119" s="48">
        <f>VLOOKUP($A119,'Página7'!$A$1:$AA$27,COLUMN(),TRUE)</f>
        <v>29761.03</v>
      </c>
      <c r="Q119" s="48">
        <f>VLOOKUP($A119,'Página7'!$A$1:$AA$27,COLUMN(),TRUE)</f>
        <v>16605.16</v>
      </c>
      <c r="R119" s="48">
        <f>VLOOKUP($A119,'Página7'!$A$1:$AA$27,COLUMN(),TRUE)</f>
        <v>29760.95</v>
      </c>
      <c r="S119" s="48">
        <f>VLOOKUP($A119,'Página7'!$A$1:$AA$27,COLUMN(),TRUE)</f>
        <v>7000</v>
      </c>
      <c r="T119" s="48">
        <f>VLOOKUP($A119,'Página7'!$A$1:$AA$27,COLUMN(),TRUE)</f>
        <v>17740.89</v>
      </c>
      <c r="U119" s="48">
        <f>VLOOKUP($A119,'Página7'!$A$1:$AA$27,COLUMN(),TRUE)</f>
        <v>4200</v>
      </c>
      <c r="V119" s="48">
        <f>VLOOKUP($A119,'Página7'!$A$1:$AA$27,COLUMN(),TRUE)</f>
        <v>19209.43475</v>
      </c>
      <c r="W119" s="48">
        <f>VLOOKUP($A119,'Página7'!$A$1:$AA$27,COLUMN(),TRUE)</f>
        <v>12038.741</v>
      </c>
      <c r="X119" s="48">
        <f>VLOOKUP($A119,'Página7'!$A$1:$AA$27,COLUMN(),TRUE)</f>
        <v>19209.39125</v>
      </c>
      <c r="Y119" s="48">
        <f>VLOOKUP($A119,'Página7'!$A$1:$AA$27,COLUMN(),TRUE)</f>
        <v>5075</v>
      </c>
      <c r="Z119" s="48">
        <f>VLOOKUP($A119,'Página7'!$A$1:$AA$27,COLUMN(),TRUE)</f>
        <v>12150.61</v>
      </c>
      <c r="AA119" s="48">
        <f>VLOOKUP($A119,'Página7'!$A$1:$AA$27,COLUMN(),TRUE)</f>
        <v>3045</v>
      </c>
    </row>
    <row r="120">
      <c r="A120" s="34">
        <v>45962.0</v>
      </c>
      <c r="B120" s="48">
        <f>ROUND(IF(MONTH($A120)=12,2.333,1)*VLOOKUP($A120,'Página7'!$A$1:$AA$27,COLUMN(),TRUE),2)</f>
        <v>46366.19</v>
      </c>
      <c r="C120" s="48">
        <f t="shared" si="7"/>
        <v>45951.07</v>
      </c>
      <c r="D120" s="48">
        <f>ROUND(IF(MONTH($A120)=12,2.333,1)*VLOOKUP($A120,'Página7'!$A$1:$AA$27,COLUMN(),TRUE),2)</f>
        <v>36469.51</v>
      </c>
      <c r="E120" s="48">
        <f t="shared" si="2"/>
        <v>36060.95</v>
      </c>
      <c r="F120" s="48">
        <f t="shared" si="3"/>
        <v>21520.89</v>
      </c>
      <c r="G120" s="48">
        <f>ROUND(IF(MONTH($A120)=12,2.333,1)*VLOOKUP($A120,'Página7'!$A$1:$AA$27,COLUMN(),TRUE),2)</f>
        <v>33086.1</v>
      </c>
      <c r="H120" s="48">
        <f>ROUND(IF(MONTH($A120)=12,2.333,1)*VLOOKUP($A120,'Página7'!$A$1:$AA$27,COLUMN(),TRUE),2)</f>
        <v>15189.85</v>
      </c>
      <c r="I120" s="48">
        <f>ROUND(IF(MONTH($A120)=12,2.333,1)*VLOOKUP($A120,'Página7'!$A$1:$AA$27,COLUMN(),TRUE),2)</f>
        <v>28960.82</v>
      </c>
      <c r="J120" s="48">
        <f t="shared" si="8"/>
        <v>30947.21</v>
      </c>
      <c r="K120" s="48">
        <f>ROUND(IF(MONTH($A120)=12,2.333,1)*VLOOKUP($A120,'Página7'!$A$1:$AA$27,COLUMN(),TRUE),2)</f>
        <v>23148.99</v>
      </c>
      <c r="L120" s="48">
        <f t="shared" si="5"/>
        <v>23776.89</v>
      </c>
      <c r="M120" s="48">
        <f t="shared" si="6"/>
        <v>14891.11</v>
      </c>
      <c r="N120" s="48">
        <f>ROUND(IF(MONTH($A120)=12,2.333,1)*VLOOKUP($A120,'Página7'!$A$1:$AA$27,COLUMN(),TRUE),2)</f>
        <v>21162.08</v>
      </c>
      <c r="O120" s="48">
        <f>ROUND(IF(MONTH($A120)=12,2.333,1)*VLOOKUP($A120,'Página7'!$A$1:$AA$27,COLUMN(),TRUE),2)</f>
        <v>10652.51</v>
      </c>
      <c r="P120" s="48">
        <f>VLOOKUP($A120,'Página7'!$A$1:$AA$27,COLUMN(),TRUE)</f>
        <v>29761.03</v>
      </c>
      <c r="Q120" s="48">
        <f>VLOOKUP($A120,'Página7'!$A$1:$AA$27,COLUMN(),TRUE)</f>
        <v>16605.16</v>
      </c>
      <c r="R120" s="48">
        <f>VLOOKUP($A120,'Página7'!$A$1:$AA$27,COLUMN(),TRUE)</f>
        <v>29760.95</v>
      </c>
      <c r="S120" s="48">
        <f>VLOOKUP($A120,'Página7'!$A$1:$AA$27,COLUMN(),TRUE)</f>
        <v>7000</v>
      </c>
      <c r="T120" s="48">
        <f>VLOOKUP($A120,'Página7'!$A$1:$AA$27,COLUMN(),TRUE)</f>
        <v>17740.89</v>
      </c>
      <c r="U120" s="48">
        <f>VLOOKUP($A120,'Página7'!$A$1:$AA$27,COLUMN(),TRUE)</f>
        <v>4200</v>
      </c>
      <c r="V120" s="48">
        <f>VLOOKUP($A120,'Página7'!$A$1:$AA$27,COLUMN(),TRUE)</f>
        <v>19209.43475</v>
      </c>
      <c r="W120" s="48">
        <f>VLOOKUP($A120,'Página7'!$A$1:$AA$27,COLUMN(),TRUE)</f>
        <v>12038.741</v>
      </c>
      <c r="X120" s="48">
        <f>VLOOKUP($A120,'Página7'!$A$1:$AA$27,COLUMN(),TRUE)</f>
        <v>19209.39125</v>
      </c>
      <c r="Y120" s="48">
        <f>VLOOKUP($A120,'Página7'!$A$1:$AA$27,COLUMN(),TRUE)</f>
        <v>5075</v>
      </c>
      <c r="Z120" s="48">
        <f>VLOOKUP($A120,'Página7'!$A$1:$AA$27,COLUMN(),TRUE)</f>
        <v>12150.61</v>
      </c>
      <c r="AA120" s="48">
        <f>VLOOKUP($A120,'Página7'!$A$1:$AA$27,COLUMN(),TRUE)</f>
        <v>3045</v>
      </c>
    </row>
    <row r="121">
      <c r="A121" s="34">
        <v>45992.0</v>
      </c>
      <c r="B121" s="48">
        <f>ROUND(IF(MONTH($A121)=12,2.333,1)*VLOOKUP($A121,'Página7'!$A$1:$AA$27,COLUMN(),TRUE),2)</f>
        <v>108172.32</v>
      </c>
      <c r="C121" s="48">
        <f t="shared" si="7"/>
        <v>107203.85</v>
      </c>
      <c r="D121" s="48">
        <f>ROUND(IF(MONTH($A121)=12,2.333,1)*VLOOKUP($A121,'Página7'!$A$1:$AA$27,COLUMN(),TRUE),2)</f>
        <v>85083.37</v>
      </c>
      <c r="E121" s="48">
        <f t="shared" si="2"/>
        <v>84130.2</v>
      </c>
      <c r="F121" s="48">
        <f t="shared" si="3"/>
        <v>50208.24</v>
      </c>
      <c r="G121" s="48">
        <f>ROUND(IF(MONTH($A121)=12,2.333,1)*VLOOKUP($A121,'Página7'!$A$1:$AA$27,COLUMN(),TRUE),2)</f>
        <v>77189.87</v>
      </c>
      <c r="H121" s="48">
        <f>ROUND(IF(MONTH($A121)=12,2.333,1)*VLOOKUP($A121,'Página7'!$A$1:$AA$27,COLUMN(),TRUE),2)</f>
        <v>35437.92</v>
      </c>
      <c r="I121" s="48">
        <f>ROUND(IF(MONTH($A121)=12,2.333,1)*VLOOKUP($A121,'Página7'!$A$1:$AA$27,COLUMN(),TRUE),2)</f>
        <v>67565.58</v>
      </c>
      <c r="J121" s="48">
        <f t="shared" si="8"/>
        <v>72199.85</v>
      </c>
      <c r="K121" s="48">
        <f>ROUND(IF(MONTH($A121)=12,2.333,1)*VLOOKUP($A121,'Página7'!$A$1:$AA$27,COLUMN(),TRUE),2)</f>
        <v>54006.59</v>
      </c>
      <c r="L121" s="48">
        <f t="shared" si="5"/>
        <v>55471.49</v>
      </c>
      <c r="M121" s="48">
        <f t="shared" si="6"/>
        <v>34740.96</v>
      </c>
      <c r="N121" s="48">
        <f>ROUND(IF(MONTH($A121)=12,2.333,1)*VLOOKUP($A121,'Página7'!$A$1:$AA$27,COLUMN(),TRUE),2)</f>
        <v>49371.14</v>
      </c>
      <c r="O121" s="48">
        <f>ROUND(IF(MONTH($A121)=12,2.333,1)*VLOOKUP($A121,'Página7'!$A$1:$AA$27,COLUMN(),TRUE),2)</f>
        <v>24852.31</v>
      </c>
      <c r="P121" s="48">
        <f>VLOOKUP($A121,'Página7'!$A$1:$AA$27,COLUMN(),TRUE)</f>
        <v>29761.03</v>
      </c>
      <c r="Q121" s="48">
        <f>VLOOKUP($A121,'Página7'!$A$1:$AA$27,COLUMN(),TRUE)</f>
        <v>16605.16</v>
      </c>
      <c r="R121" s="48">
        <f>VLOOKUP($A121,'Página7'!$A$1:$AA$27,COLUMN(),TRUE)</f>
        <v>29760.95</v>
      </c>
      <c r="S121" s="48">
        <f>VLOOKUP($A121,'Página7'!$A$1:$AA$27,COLUMN(),TRUE)</f>
        <v>7000</v>
      </c>
      <c r="T121" s="48">
        <f>VLOOKUP($A121,'Página7'!$A$1:$AA$27,COLUMN(),TRUE)</f>
        <v>17740.89</v>
      </c>
      <c r="U121" s="48">
        <f>VLOOKUP($A121,'Página7'!$A$1:$AA$27,COLUMN(),TRUE)</f>
        <v>4200</v>
      </c>
      <c r="V121" s="48">
        <f>VLOOKUP($A121,'Página7'!$A$1:$AA$27,COLUMN(),TRUE)</f>
        <v>19209.43475</v>
      </c>
      <c r="W121" s="48">
        <f>VLOOKUP($A121,'Página7'!$A$1:$AA$27,COLUMN(),TRUE)</f>
        <v>12038.741</v>
      </c>
      <c r="X121" s="48">
        <f>VLOOKUP($A121,'Página7'!$A$1:$AA$27,COLUMN(),TRUE)</f>
        <v>19209.39125</v>
      </c>
      <c r="Y121" s="48">
        <f>VLOOKUP($A121,'Página7'!$A$1:$AA$27,COLUMN(),TRUE)</f>
        <v>5075</v>
      </c>
      <c r="Z121" s="48">
        <f>VLOOKUP($A121,'Página7'!$A$1:$AA$27,COLUMN(),TRUE)</f>
        <v>12150.61</v>
      </c>
      <c r="AA121" s="48">
        <f>VLOOKUP($A121,'Página7'!$A$1:$AA$27,COLUMN(),TRUE)</f>
        <v>3045</v>
      </c>
    </row>
    <row r="122">
      <c r="A122" s="34">
        <v>46023.0</v>
      </c>
      <c r="B122" s="48">
        <f>ROUND(IF(MONTH($A122)=12,2.333,1)*VLOOKUP($A122,'Página7'!$A$1:$AA$27,COLUMN(),TRUE),2)</f>
        <v>46366.19</v>
      </c>
      <c r="C122" s="48">
        <f t="shared" si="7"/>
        <v>45951.07</v>
      </c>
      <c r="D122" s="48">
        <f>ROUND(IF(MONTH($A122)=12,2.333,1)*VLOOKUP($A122,'Página7'!$A$1:$AA$27,COLUMN(),TRUE),2)</f>
        <v>36469.51</v>
      </c>
      <c r="E122" s="48">
        <f t="shared" si="2"/>
        <v>36060.95</v>
      </c>
      <c r="F122" s="48">
        <f t="shared" si="3"/>
        <v>21520.89</v>
      </c>
      <c r="G122" s="48">
        <f>ROUND(IF(MONTH($A122)=12,2.333,1)*VLOOKUP($A122,'Página7'!$A$1:$AA$27,COLUMN(),TRUE),2)</f>
        <v>33086.1</v>
      </c>
      <c r="H122" s="48">
        <f>ROUND(IF(MONTH($A122)=12,2.333,1)*VLOOKUP($A122,'Página7'!$A$1:$AA$27,COLUMN(),TRUE),2)</f>
        <v>15189.85</v>
      </c>
      <c r="I122" s="48">
        <f>ROUND(IF(MONTH($A122)=12,2.333,1)*VLOOKUP($A122,'Página7'!$A$1:$AA$27,COLUMN(),TRUE),2)</f>
        <v>28960.82</v>
      </c>
      <c r="J122" s="48">
        <f t="shared" si="8"/>
        <v>30947.21</v>
      </c>
      <c r="K122" s="48">
        <f>ROUND(IF(MONTH($A122)=12,2.333,1)*VLOOKUP($A122,'Página7'!$A$1:$AA$27,COLUMN(),TRUE),2)</f>
        <v>23148.99</v>
      </c>
      <c r="L122" s="48">
        <f t="shared" si="5"/>
        <v>23776.89</v>
      </c>
      <c r="M122" s="48">
        <f t="shared" si="6"/>
        <v>14891.11</v>
      </c>
      <c r="N122" s="48">
        <f>ROUND(IF(MONTH($A122)=12,2.333,1)*VLOOKUP($A122,'Página7'!$A$1:$AA$27,COLUMN(),TRUE),2)</f>
        <v>21162.08</v>
      </c>
      <c r="O122" s="48">
        <f>ROUND(IF(MONTH($A122)=12,2.333,1)*VLOOKUP($A122,'Página7'!$A$1:$AA$27,COLUMN(),TRUE),2)</f>
        <v>10652.51</v>
      </c>
      <c r="P122" s="48">
        <f>VLOOKUP($A122,'Página7'!$A$1:$AA$27,COLUMN(),TRUE)</f>
        <v>29761.03</v>
      </c>
      <c r="Q122" s="48">
        <f>VLOOKUP($A122,'Página7'!$A$1:$AA$27,COLUMN(),TRUE)</f>
        <v>16605.16</v>
      </c>
      <c r="R122" s="48">
        <f>VLOOKUP($A122,'Página7'!$A$1:$AA$27,COLUMN(),TRUE)</f>
        <v>29760.95</v>
      </c>
      <c r="S122" s="48">
        <f>VLOOKUP($A122,'Página7'!$A$1:$AA$27,COLUMN(),TRUE)</f>
        <v>7000</v>
      </c>
      <c r="T122" s="48">
        <f>VLOOKUP($A122,'Página7'!$A$1:$AA$27,COLUMN(),TRUE)</f>
        <v>17740.89</v>
      </c>
      <c r="U122" s="48">
        <f>VLOOKUP($A122,'Página7'!$A$1:$AA$27,COLUMN(),TRUE)</f>
        <v>4200</v>
      </c>
      <c r="V122" s="48">
        <f>VLOOKUP($A122,'Página7'!$A$1:$AA$27,COLUMN(),TRUE)</f>
        <v>19209.43475</v>
      </c>
      <c r="W122" s="48">
        <f>VLOOKUP($A122,'Página7'!$A$1:$AA$27,COLUMN(),TRUE)</f>
        <v>12038.741</v>
      </c>
      <c r="X122" s="48">
        <f>VLOOKUP($A122,'Página7'!$A$1:$AA$27,COLUMN(),TRUE)</f>
        <v>19209.39125</v>
      </c>
      <c r="Y122" s="48">
        <f>VLOOKUP($A122,'Página7'!$A$1:$AA$27,COLUMN(),TRUE)</f>
        <v>5075</v>
      </c>
      <c r="Z122" s="48">
        <f>VLOOKUP($A122,'Página7'!$A$1:$AA$27,COLUMN(),TRUE)</f>
        <v>12150.61</v>
      </c>
      <c r="AA122" s="48">
        <f>VLOOKUP($A122,'Página7'!$A$1:$AA$27,COLUMN(),TRUE)</f>
        <v>3045</v>
      </c>
    </row>
    <row r="123">
      <c r="A123" s="34">
        <v>46054.0</v>
      </c>
      <c r="B123" s="48">
        <f>ROUND(IF(MONTH($A123)=12,2.333,1)*VLOOKUP($A123,'Página7'!$A$1:$AA$27,COLUMN(),TRUE),2)</f>
        <v>46366.19</v>
      </c>
      <c r="C123" s="48">
        <f t="shared" si="7"/>
        <v>45951.07</v>
      </c>
      <c r="D123" s="48">
        <f>ROUND(IF(MONTH($A123)=12,2.333,1)*VLOOKUP($A123,'Página7'!$A$1:$AA$27,COLUMN(),TRUE),2)</f>
        <v>36469.51</v>
      </c>
      <c r="E123" s="48">
        <f t="shared" si="2"/>
        <v>36060.95</v>
      </c>
      <c r="F123" s="48">
        <f t="shared" si="3"/>
        <v>21520.89</v>
      </c>
      <c r="G123" s="48">
        <f>ROUND(IF(MONTH($A123)=12,2.333,1)*VLOOKUP($A123,'Página7'!$A$1:$AA$27,COLUMN(),TRUE),2)</f>
        <v>33086.1</v>
      </c>
      <c r="H123" s="48">
        <f>ROUND(IF(MONTH($A123)=12,2.333,1)*VLOOKUP($A123,'Página7'!$A$1:$AA$27,COLUMN(),TRUE),2)</f>
        <v>15189.85</v>
      </c>
      <c r="I123" s="48">
        <f>ROUND(IF(MONTH($A123)=12,2.333,1)*VLOOKUP($A123,'Página7'!$A$1:$AA$27,COLUMN(),TRUE),2)</f>
        <v>28960.82</v>
      </c>
      <c r="J123" s="48">
        <f t="shared" si="8"/>
        <v>30947.21</v>
      </c>
      <c r="K123" s="48">
        <f>ROUND(IF(MONTH($A123)=12,2.333,1)*VLOOKUP($A123,'Página7'!$A$1:$AA$27,COLUMN(),TRUE),2)</f>
        <v>23148.99</v>
      </c>
      <c r="L123" s="48">
        <f t="shared" si="5"/>
        <v>23776.89</v>
      </c>
      <c r="M123" s="48">
        <f t="shared" si="6"/>
        <v>14891.11</v>
      </c>
      <c r="N123" s="48">
        <f>ROUND(IF(MONTH($A123)=12,2.333,1)*VLOOKUP($A123,'Página7'!$A$1:$AA$27,COLUMN(),TRUE),2)</f>
        <v>21162.08</v>
      </c>
      <c r="O123" s="48">
        <f>ROUND(IF(MONTH($A123)=12,2.333,1)*VLOOKUP($A123,'Página7'!$A$1:$AA$27,COLUMN(),TRUE),2)</f>
        <v>10652.51</v>
      </c>
      <c r="P123" s="48">
        <f>VLOOKUP($A123,'Página7'!$A$1:$AA$27,COLUMN(),TRUE)</f>
        <v>29761.03</v>
      </c>
      <c r="Q123" s="48">
        <f>VLOOKUP($A123,'Página7'!$A$1:$AA$27,COLUMN(),TRUE)</f>
        <v>16605.16</v>
      </c>
      <c r="R123" s="48">
        <f>VLOOKUP($A123,'Página7'!$A$1:$AA$27,COLUMN(),TRUE)</f>
        <v>29760.95</v>
      </c>
      <c r="S123" s="48">
        <f>VLOOKUP($A123,'Página7'!$A$1:$AA$27,COLUMN(),TRUE)</f>
        <v>7000</v>
      </c>
      <c r="T123" s="48">
        <f>VLOOKUP($A123,'Página7'!$A$1:$AA$27,COLUMN(),TRUE)</f>
        <v>17740.89</v>
      </c>
      <c r="U123" s="48">
        <f>VLOOKUP($A123,'Página7'!$A$1:$AA$27,COLUMN(),TRUE)</f>
        <v>4200</v>
      </c>
      <c r="V123" s="48">
        <f>VLOOKUP($A123,'Página7'!$A$1:$AA$27,COLUMN(),TRUE)</f>
        <v>19209.43475</v>
      </c>
      <c r="W123" s="48">
        <f>VLOOKUP($A123,'Página7'!$A$1:$AA$27,COLUMN(),TRUE)</f>
        <v>12038.741</v>
      </c>
      <c r="X123" s="48">
        <f>VLOOKUP($A123,'Página7'!$A$1:$AA$27,COLUMN(),TRUE)</f>
        <v>19209.39125</v>
      </c>
      <c r="Y123" s="48">
        <f>VLOOKUP($A123,'Página7'!$A$1:$AA$27,COLUMN(),TRUE)</f>
        <v>5075</v>
      </c>
      <c r="Z123" s="48">
        <f>VLOOKUP($A123,'Página7'!$A$1:$AA$27,COLUMN(),TRUE)</f>
        <v>12150.61</v>
      </c>
      <c r="AA123" s="48">
        <f>VLOOKUP($A123,'Página7'!$A$1:$AA$27,COLUMN(),TRUE)</f>
        <v>3045</v>
      </c>
    </row>
    <row r="124">
      <c r="A124" s="34">
        <v>46082.0</v>
      </c>
      <c r="B124" s="48">
        <f>ROUND(IF(MONTH($A124)=12,2.333,1)*VLOOKUP($A124,'Página7'!$A$1:$AA$27,COLUMN(),TRUE),2)</f>
        <v>46366.19</v>
      </c>
      <c r="C124" s="48">
        <f t="shared" si="7"/>
        <v>45951.07</v>
      </c>
      <c r="D124" s="48">
        <f>ROUND(IF(MONTH($A124)=12,2.333,1)*VLOOKUP($A124,'Página7'!$A$1:$AA$27,COLUMN(),TRUE),2)</f>
        <v>36469.51</v>
      </c>
      <c r="E124" s="48">
        <f t="shared" si="2"/>
        <v>36060.95</v>
      </c>
      <c r="F124" s="48">
        <f t="shared" si="3"/>
        <v>21520.89</v>
      </c>
      <c r="G124" s="48">
        <f>ROUND(IF(MONTH($A124)=12,2.333,1)*VLOOKUP($A124,'Página7'!$A$1:$AA$27,COLUMN(),TRUE),2)</f>
        <v>33086.1</v>
      </c>
      <c r="H124" s="48">
        <f>ROUND(IF(MONTH($A124)=12,2.333,1)*VLOOKUP($A124,'Página7'!$A$1:$AA$27,COLUMN(),TRUE),2)</f>
        <v>15189.85</v>
      </c>
      <c r="I124" s="48">
        <f>ROUND(IF(MONTH($A124)=12,2.333,1)*VLOOKUP($A124,'Página7'!$A$1:$AA$27,COLUMN(),TRUE),2)</f>
        <v>28960.82</v>
      </c>
      <c r="J124" s="48">
        <f t="shared" si="8"/>
        <v>30947.21</v>
      </c>
      <c r="K124" s="48">
        <f>ROUND(IF(MONTH($A124)=12,2.333,1)*VLOOKUP($A124,'Página7'!$A$1:$AA$27,COLUMN(),TRUE),2)</f>
        <v>23148.99</v>
      </c>
      <c r="L124" s="48">
        <f t="shared" si="5"/>
        <v>23776.89</v>
      </c>
      <c r="M124" s="48">
        <f t="shared" si="6"/>
        <v>14891.11</v>
      </c>
      <c r="N124" s="48">
        <f>ROUND(IF(MONTH($A124)=12,2.333,1)*VLOOKUP($A124,'Página7'!$A$1:$AA$27,COLUMN(),TRUE),2)</f>
        <v>21162.08</v>
      </c>
      <c r="O124" s="48">
        <f>ROUND(IF(MONTH($A124)=12,2.333,1)*VLOOKUP($A124,'Página7'!$A$1:$AA$27,COLUMN(),TRUE),2)</f>
        <v>10652.51</v>
      </c>
      <c r="P124" s="48">
        <f>VLOOKUP($A124,'Página7'!$A$1:$AA$27,COLUMN(),TRUE)</f>
        <v>29761.03</v>
      </c>
      <c r="Q124" s="48">
        <f>VLOOKUP($A124,'Página7'!$A$1:$AA$27,COLUMN(),TRUE)</f>
        <v>16605.16</v>
      </c>
      <c r="R124" s="48">
        <f>VLOOKUP($A124,'Página7'!$A$1:$AA$27,COLUMN(),TRUE)</f>
        <v>29760.95</v>
      </c>
      <c r="S124" s="48">
        <f>VLOOKUP($A124,'Página7'!$A$1:$AA$27,COLUMN(),TRUE)</f>
        <v>7000</v>
      </c>
      <c r="T124" s="48">
        <f>VLOOKUP($A124,'Página7'!$A$1:$AA$27,COLUMN(),TRUE)</f>
        <v>17740.89</v>
      </c>
      <c r="U124" s="48">
        <f>VLOOKUP($A124,'Página7'!$A$1:$AA$27,COLUMN(),TRUE)</f>
        <v>4200</v>
      </c>
      <c r="V124" s="48">
        <f>VLOOKUP($A124,'Página7'!$A$1:$AA$27,COLUMN(),TRUE)</f>
        <v>19209.43475</v>
      </c>
      <c r="W124" s="48">
        <f>VLOOKUP($A124,'Página7'!$A$1:$AA$27,COLUMN(),TRUE)</f>
        <v>12038.741</v>
      </c>
      <c r="X124" s="48">
        <f>VLOOKUP($A124,'Página7'!$A$1:$AA$27,COLUMN(),TRUE)</f>
        <v>19209.39125</v>
      </c>
      <c r="Y124" s="48">
        <f>VLOOKUP($A124,'Página7'!$A$1:$AA$27,COLUMN(),TRUE)</f>
        <v>5075</v>
      </c>
      <c r="Z124" s="48">
        <f>VLOOKUP($A124,'Página7'!$A$1:$AA$27,COLUMN(),TRUE)</f>
        <v>12150.61</v>
      </c>
      <c r="AA124" s="48">
        <f>VLOOKUP($A124,'Página7'!$A$1:$AA$27,COLUMN(),TRUE)</f>
        <v>3045</v>
      </c>
    </row>
    <row r="125">
      <c r="A125" s="34">
        <v>46113.0</v>
      </c>
      <c r="B125" s="48">
        <f>ROUND(IF(MONTH($A125)=12,2.333,1)*VLOOKUP($A125,'Página7'!$A$1:$AA$27,COLUMN(),TRUE),2)</f>
        <v>46366.19</v>
      </c>
      <c r="C125" s="48">
        <f t="shared" si="7"/>
        <v>45951.07</v>
      </c>
      <c r="D125" s="48">
        <f>ROUND(IF(MONTH($A125)=12,2.333,1)*VLOOKUP($A125,'Página7'!$A$1:$AA$27,COLUMN(),TRUE),2)</f>
        <v>36469.51</v>
      </c>
      <c r="E125" s="48">
        <f t="shared" si="2"/>
        <v>40110.95</v>
      </c>
      <c r="F125" s="48">
        <f t="shared" si="3"/>
        <v>23950.89</v>
      </c>
      <c r="G125" s="48">
        <f>ROUND(IF(MONTH($A125)=12,2.333,1)*VLOOKUP($A125,'Página7'!$A$1:$AA$27,COLUMN(),TRUE),2)</f>
        <v>36694</v>
      </c>
      <c r="H125" s="48">
        <f>ROUND(IF(MONTH($A125)=12,2.333,1)*VLOOKUP($A125,'Página7'!$A$1:$AA$27,COLUMN(),TRUE),2)</f>
        <v>16914.7</v>
      </c>
      <c r="I125" s="48">
        <f>ROUND(IF(MONTH($A125)=12,2.333,1)*VLOOKUP($A125,'Página7'!$A$1:$AA$27,COLUMN(),TRUE),2)</f>
        <v>28960.82</v>
      </c>
      <c r="J125" s="48">
        <f t="shared" si="8"/>
        <v>30947.21</v>
      </c>
      <c r="K125" s="48">
        <f>ROUND(IF(MONTH($A125)=12,2.333,1)*VLOOKUP($A125,'Página7'!$A$1:$AA$27,COLUMN(),TRUE),2)</f>
        <v>23148.99</v>
      </c>
      <c r="L125" s="48">
        <f t="shared" si="5"/>
        <v>26713.14</v>
      </c>
      <c r="M125" s="48">
        <f t="shared" si="6"/>
        <v>16652.86</v>
      </c>
      <c r="N125" s="48">
        <f>ROUND(IF(MONTH($A125)=12,2.333,1)*VLOOKUP($A125,'Página7'!$A$1:$AA$27,COLUMN(),TRUE),2)</f>
        <v>23280.82</v>
      </c>
      <c r="O125" s="48">
        <f>ROUND(IF(MONTH($A125)=12,2.333,1)*VLOOKUP($A125,'Página7'!$A$1:$AA$27,COLUMN(),TRUE),2)</f>
        <v>11665.43</v>
      </c>
      <c r="P125" s="48">
        <f>VLOOKUP($A125,'Página7'!$A$1:$AA$27,COLUMN(),TRUE)</f>
        <v>29761.03</v>
      </c>
      <c r="Q125" s="48">
        <f>VLOOKUP($A125,'Página7'!$A$1:$AA$27,COLUMN(),TRUE)</f>
        <v>16605.16</v>
      </c>
      <c r="R125" s="48">
        <f>VLOOKUP($A125,'Página7'!$A$1:$AA$27,COLUMN(),TRUE)</f>
        <v>29760.95</v>
      </c>
      <c r="S125" s="48">
        <f>VLOOKUP($A125,'Página7'!$A$1:$AA$27,COLUMN(),TRUE)</f>
        <v>11500</v>
      </c>
      <c r="T125" s="48">
        <f>VLOOKUP($A125,'Página7'!$A$1:$AA$27,COLUMN(),TRUE)</f>
        <v>17740.89</v>
      </c>
      <c r="U125" s="48">
        <f>VLOOKUP($A125,'Página7'!$A$1:$AA$27,COLUMN(),TRUE)</f>
        <v>6900</v>
      </c>
      <c r="V125" s="48">
        <f>VLOOKUP($A125,'Página7'!$A$1:$AA$27,COLUMN(),TRUE)</f>
        <v>19209.43475</v>
      </c>
      <c r="W125" s="48">
        <f>VLOOKUP($A125,'Página7'!$A$1:$AA$27,COLUMN(),TRUE)</f>
        <v>12038.741</v>
      </c>
      <c r="X125" s="48">
        <f>VLOOKUP($A125,'Página7'!$A$1:$AA$27,COLUMN(),TRUE)</f>
        <v>19209.39125</v>
      </c>
      <c r="Y125" s="48">
        <f>VLOOKUP($A125,'Página7'!$A$1:$AA$27,COLUMN(),TRUE)</f>
        <v>8337.5</v>
      </c>
      <c r="Z125" s="48">
        <f>VLOOKUP($A125,'Página7'!$A$1:$AA$27,COLUMN(),TRUE)</f>
        <v>12150.61</v>
      </c>
      <c r="AA125" s="48">
        <f>VLOOKUP($A125,'Página7'!$A$1:$AA$27,COLUMN(),TRUE)</f>
        <v>5002.5</v>
      </c>
    </row>
    <row r="126">
      <c r="A126" s="34">
        <v>46143.0</v>
      </c>
      <c r="B126" s="48">
        <f>ROUND(IF(MONTH($A126)=12,2.333,1)*VLOOKUP($A126,'Página7'!$A$1:$AA$27,COLUMN(),TRUE),2)</f>
        <v>46366.19</v>
      </c>
      <c r="C126" s="48">
        <f t="shared" si="7"/>
        <v>45951.07</v>
      </c>
      <c r="D126" s="48">
        <f>ROUND(IF(MONTH($A126)=12,2.333,1)*VLOOKUP($A126,'Página7'!$A$1:$AA$27,COLUMN(),TRUE),2)</f>
        <v>41350</v>
      </c>
      <c r="E126" s="48">
        <f t="shared" si="2"/>
        <v>40110.95</v>
      </c>
      <c r="F126" s="48">
        <f t="shared" si="3"/>
        <v>23950.89</v>
      </c>
      <c r="G126" s="48">
        <f>ROUND(IF(MONTH($A126)=12,2.333,1)*VLOOKUP($A126,'Página7'!$A$1:$AA$27,COLUMN(),TRUE),2)</f>
        <v>36694</v>
      </c>
      <c r="H126" s="48">
        <f>ROUND(IF(MONTH($A126)=12,2.333,1)*VLOOKUP($A126,'Página7'!$A$1:$AA$27,COLUMN(),TRUE),2)</f>
        <v>16914.7</v>
      </c>
      <c r="I126" s="48">
        <f>ROUND(IF(MONTH($A126)=12,2.333,1)*VLOOKUP($A126,'Página7'!$A$1:$AA$27,COLUMN(),TRUE),2)</f>
        <v>28960.82</v>
      </c>
      <c r="J126" s="48">
        <f t="shared" si="8"/>
        <v>30947.21</v>
      </c>
      <c r="K126" s="48">
        <f>ROUND(IF(MONTH($A126)=12,2.333,1)*VLOOKUP($A126,'Página7'!$A$1:$AA$27,COLUMN(),TRUE),2)</f>
        <v>26015.06</v>
      </c>
      <c r="L126" s="48">
        <f t="shared" si="5"/>
        <v>26713.14</v>
      </c>
      <c r="M126" s="48">
        <f t="shared" si="6"/>
        <v>16652.86</v>
      </c>
      <c r="N126" s="48">
        <f>ROUND(IF(MONTH($A126)=12,2.333,1)*VLOOKUP($A126,'Página7'!$A$1:$AA$27,COLUMN(),TRUE),2)</f>
        <v>23280.82</v>
      </c>
      <c r="O126" s="48">
        <f>ROUND(IF(MONTH($A126)=12,2.333,1)*VLOOKUP($A126,'Página7'!$A$1:$AA$27,COLUMN(),TRUE),2)</f>
        <v>11665.43</v>
      </c>
      <c r="P126" s="48">
        <f>VLOOKUP($A126,'Página7'!$A$1:$AA$27,COLUMN(),TRUE)</f>
        <v>29761.03</v>
      </c>
      <c r="Q126" s="48">
        <f>VLOOKUP($A126,'Página7'!$A$1:$AA$27,COLUMN(),TRUE)</f>
        <v>16605.16</v>
      </c>
      <c r="R126" s="48">
        <f>VLOOKUP($A126,'Página7'!$A$1:$AA$27,COLUMN(),TRUE)</f>
        <v>29760.95</v>
      </c>
      <c r="S126" s="48">
        <f>VLOOKUP($A126,'Página7'!$A$1:$AA$27,COLUMN(),TRUE)</f>
        <v>11500</v>
      </c>
      <c r="T126" s="48">
        <f>VLOOKUP($A126,'Página7'!$A$1:$AA$27,COLUMN(),TRUE)</f>
        <v>17740.89</v>
      </c>
      <c r="U126" s="48">
        <f>VLOOKUP($A126,'Página7'!$A$1:$AA$27,COLUMN(),TRUE)</f>
        <v>6900</v>
      </c>
      <c r="V126" s="48">
        <f>VLOOKUP($A126,'Página7'!$A$1:$AA$27,COLUMN(),TRUE)</f>
        <v>19209.43475</v>
      </c>
      <c r="W126" s="48">
        <f>VLOOKUP($A126,'Página7'!$A$1:$AA$27,COLUMN(),TRUE)</f>
        <v>12038.741</v>
      </c>
      <c r="X126" s="48">
        <f>VLOOKUP($A126,'Página7'!$A$1:$AA$27,COLUMN(),TRUE)</f>
        <v>19209.39125</v>
      </c>
      <c r="Y126" s="48">
        <f>VLOOKUP($A126,'Página7'!$A$1:$AA$27,COLUMN(),TRUE)</f>
        <v>8337.5</v>
      </c>
      <c r="Z126" s="48">
        <f>VLOOKUP($A126,'Página7'!$A$1:$AA$27,COLUMN(),TRUE)</f>
        <v>12150.61</v>
      </c>
      <c r="AA126" s="48">
        <f>VLOOKUP($A126,'Página7'!$A$1:$AA$27,COLUMN(),TRUE)</f>
        <v>5002.5</v>
      </c>
    </row>
    <row r="127">
      <c r="A127" s="34">
        <v>46174.0</v>
      </c>
      <c r="B127" s="48">
        <f>ROUND(IF(MONTH($A127)=12,2.333,1)*VLOOKUP($A127,'Página7'!$A$1:$AA$27,COLUMN(),TRUE),2)</f>
        <v>46366.19</v>
      </c>
      <c r="C127" s="48">
        <f t="shared" si="7"/>
        <v>45951.07</v>
      </c>
      <c r="D127" s="48">
        <f>ROUND(IF(MONTH($A127)=12,2.333,1)*VLOOKUP($A127,'Página7'!$A$1:$AA$27,COLUMN(),TRUE),2)</f>
        <v>41350</v>
      </c>
      <c r="E127" s="48">
        <f t="shared" si="2"/>
        <v>40110.95</v>
      </c>
      <c r="F127" s="48">
        <f t="shared" si="3"/>
        <v>23950.89</v>
      </c>
      <c r="G127" s="48">
        <f>ROUND(IF(MONTH($A127)=12,2.333,1)*VLOOKUP($A127,'Página7'!$A$1:$AA$27,COLUMN(),TRUE),2)</f>
        <v>36694</v>
      </c>
      <c r="H127" s="48">
        <f>ROUND(IF(MONTH($A127)=12,2.333,1)*VLOOKUP($A127,'Página7'!$A$1:$AA$27,COLUMN(),TRUE),2)</f>
        <v>16914.7</v>
      </c>
      <c r="I127" s="48">
        <f>ROUND(IF(MONTH($A127)=12,2.333,1)*VLOOKUP($A127,'Página7'!$A$1:$AA$27,COLUMN(),TRUE),2)</f>
        <v>28960.82</v>
      </c>
      <c r="J127" s="48">
        <f t="shared" si="8"/>
        <v>30947.21</v>
      </c>
      <c r="K127" s="48">
        <f>ROUND(IF(MONTH($A127)=12,2.333,1)*VLOOKUP($A127,'Página7'!$A$1:$AA$27,COLUMN(),TRUE),2)</f>
        <v>26015.06</v>
      </c>
      <c r="L127" s="48">
        <f t="shared" si="5"/>
        <v>26713.14</v>
      </c>
      <c r="M127" s="48">
        <f t="shared" si="6"/>
        <v>16652.86</v>
      </c>
      <c r="N127" s="48">
        <f>ROUND(IF(MONTH($A127)=12,2.333,1)*VLOOKUP($A127,'Página7'!$A$1:$AA$27,COLUMN(),TRUE),2)</f>
        <v>23280.82</v>
      </c>
      <c r="O127" s="48">
        <f>ROUND(IF(MONTH($A127)=12,2.333,1)*VLOOKUP($A127,'Página7'!$A$1:$AA$27,COLUMN(),TRUE),2)</f>
        <v>11665.43</v>
      </c>
      <c r="P127" s="48">
        <f>VLOOKUP($A127,'Página7'!$A$1:$AA$27,COLUMN(),TRUE)</f>
        <v>29761.03</v>
      </c>
      <c r="Q127" s="48">
        <f>VLOOKUP($A127,'Página7'!$A$1:$AA$27,COLUMN(),TRUE)</f>
        <v>16605.16</v>
      </c>
      <c r="R127" s="48">
        <f>VLOOKUP($A127,'Página7'!$A$1:$AA$27,COLUMN(),TRUE)</f>
        <v>29760.95</v>
      </c>
      <c r="S127" s="48">
        <f>VLOOKUP($A127,'Página7'!$A$1:$AA$27,COLUMN(),TRUE)</f>
        <v>11500</v>
      </c>
      <c r="T127" s="48">
        <f>VLOOKUP($A127,'Página7'!$A$1:$AA$27,COLUMN(),TRUE)</f>
        <v>17740.89</v>
      </c>
      <c r="U127" s="48">
        <f>VLOOKUP($A127,'Página7'!$A$1:$AA$27,COLUMN(),TRUE)</f>
        <v>6900</v>
      </c>
      <c r="V127" s="48">
        <f>VLOOKUP($A127,'Página7'!$A$1:$AA$27,COLUMN(),TRUE)</f>
        <v>19209.43475</v>
      </c>
      <c r="W127" s="48">
        <f>VLOOKUP($A127,'Página7'!$A$1:$AA$27,COLUMN(),TRUE)</f>
        <v>12038.741</v>
      </c>
      <c r="X127" s="48">
        <f>VLOOKUP($A127,'Página7'!$A$1:$AA$27,COLUMN(),TRUE)</f>
        <v>19209.39125</v>
      </c>
      <c r="Y127" s="48">
        <f>VLOOKUP($A127,'Página7'!$A$1:$AA$27,COLUMN(),TRUE)</f>
        <v>8337.5</v>
      </c>
      <c r="Z127" s="48">
        <f>VLOOKUP($A127,'Página7'!$A$1:$AA$27,COLUMN(),TRUE)</f>
        <v>12150.61</v>
      </c>
      <c r="AA127" s="48">
        <f>VLOOKUP($A127,'Página7'!$A$1:$AA$27,COLUMN(),TRUE)</f>
        <v>5002.5</v>
      </c>
    </row>
    <row r="128">
      <c r="A128" s="34">
        <v>46204.0</v>
      </c>
      <c r="B128" s="48">
        <f>ROUND(IF(MONTH($A128)=12,2.333,1)*VLOOKUP($A128,'Página7'!$A$1:$AA$27,COLUMN(),TRUE),2)</f>
        <v>46366.19</v>
      </c>
      <c r="C128" s="48">
        <f t="shared" si="7"/>
        <v>45951.07</v>
      </c>
      <c r="D128" s="48">
        <f>ROUND(IF(MONTH($A128)=12,2.333,1)*VLOOKUP($A128,'Página7'!$A$1:$AA$27,COLUMN(),TRUE),2)</f>
        <v>41350</v>
      </c>
      <c r="E128" s="48">
        <f t="shared" si="2"/>
        <v>40110.95</v>
      </c>
      <c r="F128" s="48">
        <f t="shared" si="3"/>
        <v>23950.89</v>
      </c>
      <c r="G128" s="48">
        <f>ROUND(IF(MONTH($A128)=12,2.333,1)*VLOOKUP($A128,'Página7'!$A$1:$AA$27,COLUMN(),TRUE),2)</f>
        <v>36694</v>
      </c>
      <c r="H128" s="48">
        <f>ROUND(IF(MONTH($A128)=12,2.333,1)*VLOOKUP($A128,'Página7'!$A$1:$AA$27,COLUMN(),TRUE),2)</f>
        <v>16914.7</v>
      </c>
      <c r="I128" s="48">
        <f>ROUND(IF(MONTH($A128)=12,2.333,1)*VLOOKUP($A128,'Página7'!$A$1:$AA$27,COLUMN(),TRUE),2)</f>
        <v>28960.82</v>
      </c>
      <c r="J128" s="48">
        <f t="shared" si="8"/>
        <v>30947.21</v>
      </c>
      <c r="K128" s="48">
        <f>ROUND(IF(MONTH($A128)=12,2.333,1)*VLOOKUP($A128,'Página7'!$A$1:$AA$27,COLUMN(),TRUE),2)</f>
        <v>26015.06</v>
      </c>
      <c r="L128" s="48">
        <f t="shared" si="5"/>
        <v>26713.14</v>
      </c>
      <c r="M128" s="48">
        <f t="shared" si="6"/>
        <v>16652.86</v>
      </c>
      <c r="N128" s="48">
        <f>ROUND(IF(MONTH($A128)=12,2.333,1)*VLOOKUP($A128,'Página7'!$A$1:$AA$27,COLUMN(),TRUE),2)</f>
        <v>23280.82</v>
      </c>
      <c r="O128" s="48">
        <f>ROUND(IF(MONTH($A128)=12,2.333,1)*VLOOKUP($A128,'Página7'!$A$1:$AA$27,COLUMN(),TRUE),2)</f>
        <v>11665.43</v>
      </c>
      <c r="P128" s="48">
        <f>VLOOKUP($A128,'Página7'!$A$1:$AA$27,COLUMN(),TRUE)</f>
        <v>29761.03</v>
      </c>
      <c r="Q128" s="48">
        <f>VLOOKUP($A128,'Página7'!$A$1:$AA$27,COLUMN(),TRUE)</f>
        <v>16605.16</v>
      </c>
      <c r="R128" s="48">
        <f>VLOOKUP($A128,'Página7'!$A$1:$AA$27,COLUMN(),TRUE)</f>
        <v>29760.95</v>
      </c>
      <c r="S128" s="48">
        <f>VLOOKUP($A128,'Página7'!$A$1:$AA$27,COLUMN(),TRUE)</f>
        <v>11500</v>
      </c>
      <c r="T128" s="48">
        <f>VLOOKUP($A128,'Página7'!$A$1:$AA$27,COLUMN(),TRUE)</f>
        <v>17740.89</v>
      </c>
      <c r="U128" s="48">
        <f>VLOOKUP($A128,'Página7'!$A$1:$AA$27,COLUMN(),TRUE)</f>
        <v>6900</v>
      </c>
      <c r="V128" s="48">
        <f>VLOOKUP($A128,'Página7'!$A$1:$AA$27,COLUMN(),TRUE)</f>
        <v>19209.43475</v>
      </c>
      <c r="W128" s="48">
        <f>VLOOKUP($A128,'Página7'!$A$1:$AA$27,COLUMN(),TRUE)</f>
        <v>12038.741</v>
      </c>
      <c r="X128" s="48">
        <f>VLOOKUP($A128,'Página7'!$A$1:$AA$27,COLUMN(),TRUE)</f>
        <v>19209.39125</v>
      </c>
      <c r="Y128" s="48">
        <f>VLOOKUP($A128,'Página7'!$A$1:$AA$27,COLUMN(),TRUE)</f>
        <v>8337.5</v>
      </c>
      <c r="Z128" s="48">
        <f>VLOOKUP($A128,'Página7'!$A$1:$AA$27,COLUMN(),TRUE)</f>
        <v>12150.61</v>
      </c>
      <c r="AA128" s="48">
        <f>VLOOKUP($A128,'Página7'!$A$1:$AA$27,COLUMN(),TRUE)</f>
        <v>5002.5</v>
      </c>
    </row>
    <row r="129">
      <c r="A129" s="34">
        <v>46235.0</v>
      </c>
      <c r="B129" s="48">
        <f>ROUND(IF(MONTH($A129)=12,2.333,1)*VLOOKUP($A129,'Página7'!$A$1:$AA$27,COLUMN(),TRUE),2)</f>
        <v>46366.19</v>
      </c>
      <c r="C129" s="48">
        <f t="shared" si="7"/>
        <v>45951.07</v>
      </c>
      <c r="D129" s="48">
        <f>ROUND(IF(MONTH($A129)=12,2.333,1)*VLOOKUP($A129,'Página7'!$A$1:$AA$27,COLUMN(),TRUE),2)</f>
        <v>41350</v>
      </c>
      <c r="E129" s="48">
        <f t="shared" si="2"/>
        <v>40110.95</v>
      </c>
      <c r="F129" s="48">
        <f t="shared" si="3"/>
        <v>23950.89</v>
      </c>
      <c r="G129" s="48">
        <f>ROUND(IF(MONTH($A129)=12,2.333,1)*VLOOKUP($A129,'Página7'!$A$1:$AA$27,COLUMN(),TRUE),2)</f>
        <v>36694</v>
      </c>
      <c r="H129" s="48">
        <f>ROUND(IF(MONTH($A129)=12,2.333,1)*VLOOKUP($A129,'Página7'!$A$1:$AA$27,COLUMN(),TRUE),2)</f>
        <v>16914.7</v>
      </c>
      <c r="I129" s="48">
        <f>ROUND(IF(MONTH($A129)=12,2.333,1)*VLOOKUP($A129,'Página7'!$A$1:$AA$27,COLUMN(),TRUE),2)</f>
        <v>28960.82</v>
      </c>
      <c r="J129" s="48">
        <f t="shared" si="8"/>
        <v>30947.21</v>
      </c>
      <c r="K129" s="48">
        <f>ROUND(IF(MONTH($A129)=12,2.333,1)*VLOOKUP($A129,'Página7'!$A$1:$AA$27,COLUMN(),TRUE),2)</f>
        <v>26015.06</v>
      </c>
      <c r="L129" s="48">
        <f t="shared" si="5"/>
        <v>26713.14</v>
      </c>
      <c r="M129" s="48">
        <f t="shared" si="6"/>
        <v>16652.86</v>
      </c>
      <c r="N129" s="48">
        <f>ROUND(IF(MONTH($A129)=12,2.333,1)*VLOOKUP($A129,'Página7'!$A$1:$AA$27,COLUMN(),TRUE),2)</f>
        <v>23280.82</v>
      </c>
      <c r="O129" s="48">
        <f>ROUND(IF(MONTH($A129)=12,2.333,1)*VLOOKUP($A129,'Página7'!$A$1:$AA$27,COLUMN(),TRUE),2)</f>
        <v>11665.43</v>
      </c>
      <c r="P129" s="48">
        <f>VLOOKUP($A129,'Página7'!$A$1:$AA$27,COLUMN(),TRUE)</f>
        <v>29761.03</v>
      </c>
      <c r="Q129" s="48">
        <f>VLOOKUP($A129,'Página7'!$A$1:$AA$27,COLUMN(),TRUE)</f>
        <v>16605.16</v>
      </c>
      <c r="R129" s="48">
        <f>VLOOKUP($A129,'Página7'!$A$1:$AA$27,COLUMN(),TRUE)</f>
        <v>29760.95</v>
      </c>
      <c r="S129" s="48">
        <f>VLOOKUP($A129,'Página7'!$A$1:$AA$27,COLUMN(),TRUE)</f>
        <v>11500</v>
      </c>
      <c r="T129" s="48">
        <f>VLOOKUP($A129,'Página7'!$A$1:$AA$27,COLUMN(),TRUE)</f>
        <v>17740.89</v>
      </c>
      <c r="U129" s="48">
        <f>VLOOKUP($A129,'Página7'!$A$1:$AA$27,COLUMN(),TRUE)</f>
        <v>6900</v>
      </c>
      <c r="V129" s="48">
        <f>VLOOKUP($A129,'Página7'!$A$1:$AA$27,COLUMN(),TRUE)</f>
        <v>19209.43475</v>
      </c>
      <c r="W129" s="48">
        <f>VLOOKUP($A129,'Página7'!$A$1:$AA$27,COLUMN(),TRUE)</f>
        <v>12038.741</v>
      </c>
      <c r="X129" s="48">
        <f>VLOOKUP($A129,'Página7'!$A$1:$AA$27,COLUMN(),TRUE)</f>
        <v>19209.39125</v>
      </c>
      <c r="Y129" s="48">
        <f>VLOOKUP($A129,'Página7'!$A$1:$AA$27,COLUMN(),TRUE)</f>
        <v>8337.5</v>
      </c>
      <c r="Z129" s="48">
        <f>VLOOKUP($A129,'Página7'!$A$1:$AA$27,COLUMN(),TRUE)</f>
        <v>12150.61</v>
      </c>
      <c r="AA129" s="48">
        <f>VLOOKUP($A129,'Página7'!$A$1:$AA$27,COLUMN(),TRUE)</f>
        <v>5002.5</v>
      </c>
    </row>
    <row r="130">
      <c r="A130" s="34">
        <v>46266.0</v>
      </c>
      <c r="B130" s="48">
        <f>ROUND(IF(MONTH($A130)=12,2.333,1)*VLOOKUP($A130,'Página7'!$A$1:$AA$27,COLUMN(),TRUE),2)</f>
        <v>46366.19</v>
      </c>
      <c r="C130" s="48">
        <f t="shared" si="7"/>
        <v>45951.07</v>
      </c>
      <c r="D130" s="48">
        <f>ROUND(IF(MONTH($A130)=12,2.333,1)*VLOOKUP($A130,'Página7'!$A$1:$AA$27,COLUMN(),TRUE),2)</f>
        <v>41350</v>
      </c>
      <c r="E130" s="48">
        <f t="shared" si="2"/>
        <v>40110.95</v>
      </c>
      <c r="F130" s="48">
        <f t="shared" si="3"/>
        <v>23950.89</v>
      </c>
      <c r="G130" s="48">
        <f>ROUND(IF(MONTH($A130)=12,2.333,1)*VLOOKUP($A130,'Página7'!$A$1:$AA$27,COLUMN(),TRUE),2)</f>
        <v>36694</v>
      </c>
      <c r="H130" s="48">
        <f>ROUND(IF(MONTH($A130)=12,2.333,1)*VLOOKUP($A130,'Página7'!$A$1:$AA$27,COLUMN(),TRUE),2)</f>
        <v>16914.7</v>
      </c>
      <c r="I130" s="48">
        <f>ROUND(IF(MONTH($A130)=12,2.333,1)*VLOOKUP($A130,'Página7'!$A$1:$AA$27,COLUMN(),TRUE),2)</f>
        <v>28960.82</v>
      </c>
      <c r="J130" s="48">
        <f t="shared" si="8"/>
        <v>30947.21</v>
      </c>
      <c r="K130" s="48">
        <f>ROUND(IF(MONTH($A130)=12,2.333,1)*VLOOKUP($A130,'Página7'!$A$1:$AA$27,COLUMN(),TRUE),2)</f>
        <v>26015.06</v>
      </c>
      <c r="L130" s="48">
        <f t="shared" si="5"/>
        <v>26713.14</v>
      </c>
      <c r="M130" s="48">
        <f t="shared" si="6"/>
        <v>16652.86</v>
      </c>
      <c r="N130" s="48">
        <f>ROUND(IF(MONTH($A130)=12,2.333,1)*VLOOKUP($A130,'Página7'!$A$1:$AA$27,COLUMN(),TRUE),2)</f>
        <v>23280.82</v>
      </c>
      <c r="O130" s="48">
        <f>ROUND(IF(MONTH($A130)=12,2.333,1)*VLOOKUP($A130,'Página7'!$A$1:$AA$27,COLUMN(),TRUE),2)</f>
        <v>11665.43</v>
      </c>
      <c r="P130" s="48">
        <f>VLOOKUP($A130,'Página7'!$A$1:$AA$27,COLUMN(),TRUE)</f>
        <v>29761.03</v>
      </c>
      <c r="Q130" s="48">
        <f>VLOOKUP($A130,'Página7'!$A$1:$AA$27,COLUMN(),TRUE)</f>
        <v>16605.16</v>
      </c>
      <c r="R130" s="48">
        <f>VLOOKUP($A130,'Página7'!$A$1:$AA$27,COLUMN(),TRUE)</f>
        <v>29760.95</v>
      </c>
      <c r="S130" s="48">
        <f>VLOOKUP($A130,'Página7'!$A$1:$AA$27,COLUMN(),TRUE)</f>
        <v>11500</v>
      </c>
      <c r="T130" s="48">
        <f>VLOOKUP($A130,'Página7'!$A$1:$AA$27,COLUMN(),TRUE)</f>
        <v>17740.89</v>
      </c>
      <c r="U130" s="48">
        <f>VLOOKUP($A130,'Página7'!$A$1:$AA$27,COLUMN(),TRUE)</f>
        <v>6900</v>
      </c>
      <c r="V130" s="48">
        <f>VLOOKUP($A130,'Página7'!$A$1:$AA$27,COLUMN(),TRUE)</f>
        <v>19209.43475</v>
      </c>
      <c r="W130" s="48">
        <f>VLOOKUP($A130,'Página7'!$A$1:$AA$27,COLUMN(),TRUE)</f>
        <v>12038.741</v>
      </c>
      <c r="X130" s="48">
        <f>VLOOKUP($A130,'Página7'!$A$1:$AA$27,COLUMN(),TRUE)</f>
        <v>19209.39125</v>
      </c>
      <c r="Y130" s="48">
        <f>VLOOKUP($A130,'Página7'!$A$1:$AA$27,COLUMN(),TRUE)</f>
        <v>8337.5</v>
      </c>
      <c r="Z130" s="48">
        <f>VLOOKUP($A130,'Página7'!$A$1:$AA$27,COLUMN(),TRUE)</f>
        <v>12150.61</v>
      </c>
      <c r="AA130" s="48">
        <f>VLOOKUP($A130,'Página7'!$A$1:$AA$27,COLUMN(),TRUE)</f>
        <v>5002.5</v>
      </c>
    </row>
    <row r="131">
      <c r="A131" s="34">
        <v>46296.0</v>
      </c>
      <c r="B131" s="48">
        <f>ROUND(IF(MONTH($A131)=12,2.333,1)*VLOOKUP($A131,'Página7'!$A$1:$AA$27,COLUMN(),TRUE),2)</f>
        <v>46366.19</v>
      </c>
      <c r="C131" s="48">
        <f t="shared" si="7"/>
        <v>45951.07</v>
      </c>
      <c r="D131" s="48">
        <f>ROUND(IF(MONTH($A131)=12,2.333,1)*VLOOKUP($A131,'Página7'!$A$1:$AA$27,COLUMN(),TRUE),2)</f>
        <v>41350</v>
      </c>
      <c r="E131" s="48">
        <f t="shared" si="2"/>
        <v>40110.95</v>
      </c>
      <c r="F131" s="48">
        <f t="shared" si="3"/>
        <v>23950.89</v>
      </c>
      <c r="G131" s="48">
        <f>ROUND(IF(MONTH($A131)=12,2.333,1)*VLOOKUP($A131,'Página7'!$A$1:$AA$27,COLUMN(),TRUE),2)</f>
        <v>36694</v>
      </c>
      <c r="H131" s="48">
        <f>ROUND(IF(MONTH($A131)=12,2.333,1)*VLOOKUP($A131,'Página7'!$A$1:$AA$27,COLUMN(),TRUE),2)</f>
        <v>16914.7</v>
      </c>
      <c r="I131" s="48">
        <f>ROUND(IF(MONTH($A131)=12,2.333,1)*VLOOKUP($A131,'Página7'!$A$1:$AA$27,COLUMN(),TRUE),2)</f>
        <v>28960.82</v>
      </c>
      <c r="J131" s="48">
        <f t="shared" si="8"/>
        <v>30947.21</v>
      </c>
      <c r="K131" s="48">
        <f>ROUND(IF(MONTH($A131)=12,2.333,1)*VLOOKUP($A131,'Página7'!$A$1:$AA$27,COLUMN(),TRUE),2)</f>
        <v>26015.06</v>
      </c>
      <c r="L131" s="48">
        <f t="shared" si="5"/>
        <v>26713.14</v>
      </c>
      <c r="M131" s="48">
        <f t="shared" si="6"/>
        <v>16652.86</v>
      </c>
      <c r="N131" s="48">
        <f>ROUND(IF(MONTH($A131)=12,2.333,1)*VLOOKUP($A131,'Página7'!$A$1:$AA$27,COLUMN(),TRUE),2)</f>
        <v>23280.82</v>
      </c>
      <c r="O131" s="48">
        <f>ROUND(IF(MONTH($A131)=12,2.333,1)*VLOOKUP($A131,'Página7'!$A$1:$AA$27,COLUMN(),TRUE),2)</f>
        <v>11665.43</v>
      </c>
      <c r="P131" s="48">
        <f>VLOOKUP($A131,'Página7'!$A$1:$AA$27,COLUMN(),TRUE)</f>
        <v>29761.03</v>
      </c>
      <c r="Q131" s="48">
        <f>VLOOKUP($A131,'Página7'!$A$1:$AA$27,COLUMN(),TRUE)</f>
        <v>16605.16</v>
      </c>
      <c r="R131" s="48">
        <f>VLOOKUP($A131,'Página7'!$A$1:$AA$27,COLUMN(),TRUE)</f>
        <v>29760.95</v>
      </c>
      <c r="S131" s="48">
        <f>VLOOKUP($A131,'Página7'!$A$1:$AA$27,COLUMN(),TRUE)</f>
        <v>11500</v>
      </c>
      <c r="T131" s="48">
        <f>VLOOKUP($A131,'Página7'!$A$1:$AA$27,COLUMN(),TRUE)</f>
        <v>17740.89</v>
      </c>
      <c r="U131" s="48">
        <f>VLOOKUP($A131,'Página7'!$A$1:$AA$27,COLUMN(),TRUE)</f>
        <v>6900</v>
      </c>
      <c r="V131" s="48">
        <f>VLOOKUP($A131,'Página7'!$A$1:$AA$27,COLUMN(),TRUE)</f>
        <v>19209.43475</v>
      </c>
      <c r="W131" s="48">
        <f>VLOOKUP($A131,'Página7'!$A$1:$AA$27,COLUMN(),TRUE)</f>
        <v>12038.741</v>
      </c>
      <c r="X131" s="48">
        <f>VLOOKUP($A131,'Página7'!$A$1:$AA$27,COLUMN(),TRUE)</f>
        <v>19209.39125</v>
      </c>
      <c r="Y131" s="48">
        <f>VLOOKUP($A131,'Página7'!$A$1:$AA$27,COLUMN(),TRUE)</f>
        <v>8337.5</v>
      </c>
      <c r="Z131" s="48">
        <f>VLOOKUP($A131,'Página7'!$A$1:$AA$27,COLUMN(),TRUE)</f>
        <v>12150.61</v>
      </c>
      <c r="AA131" s="48">
        <f>VLOOKUP($A131,'Página7'!$A$1:$AA$27,COLUMN(),TRUE)</f>
        <v>5002.5</v>
      </c>
    </row>
    <row r="132">
      <c r="A132" s="34">
        <v>46327.0</v>
      </c>
      <c r="B132" s="48">
        <f>ROUND(IF(MONTH($A132)=12,2.333,1)*VLOOKUP($A132,'Página7'!$A$1:$AA$27,COLUMN(),TRUE),2)</f>
        <v>46366.19</v>
      </c>
      <c r="C132" s="48">
        <f t="shared" si="7"/>
        <v>45951.07</v>
      </c>
      <c r="D132" s="48">
        <f>ROUND(IF(MONTH($A132)=12,2.333,1)*VLOOKUP($A132,'Página7'!$A$1:$AA$27,COLUMN(),TRUE),2)</f>
        <v>41350</v>
      </c>
      <c r="E132" s="48">
        <f t="shared" si="2"/>
        <v>40110.95</v>
      </c>
      <c r="F132" s="48">
        <f t="shared" si="3"/>
        <v>23950.89</v>
      </c>
      <c r="G132" s="48">
        <f>ROUND(IF(MONTH($A132)=12,2.333,1)*VLOOKUP($A132,'Página7'!$A$1:$AA$27,COLUMN(),TRUE),2)</f>
        <v>36694</v>
      </c>
      <c r="H132" s="48">
        <f>ROUND(IF(MONTH($A132)=12,2.333,1)*VLOOKUP($A132,'Página7'!$A$1:$AA$27,COLUMN(),TRUE),2)</f>
        <v>16914.7</v>
      </c>
      <c r="I132" s="48">
        <f>ROUND(IF(MONTH($A132)=12,2.333,1)*VLOOKUP($A132,'Página7'!$A$1:$AA$27,COLUMN(),TRUE),2)</f>
        <v>28960.82</v>
      </c>
      <c r="J132" s="48">
        <f t="shared" si="8"/>
        <v>30947.21</v>
      </c>
      <c r="K132" s="48">
        <f>ROUND(IF(MONTH($A132)=12,2.333,1)*VLOOKUP($A132,'Página7'!$A$1:$AA$27,COLUMN(),TRUE),2)</f>
        <v>26015.06</v>
      </c>
      <c r="L132" s="48">
        <f t="shared" si="5"/>
        <v>26713.14</v>
      </c>
      <c r="M132" s="48">
        <f t="shared" si="6"/>
        <v>16652.86</v>
      </c>
      <c r="N132" s="48">
        <f>ROUND(IF(MONTH($A132)=12,2.333,1)*VLOOKUP($A132,'Página7'!$A$1:$AA$27,COLUMN(),TRUE),2)</f>
        <v>23280.82</v>
      </c>
      <c r="O132" s="48">
        <f>ROUND(IF(MONTH($A132)=12,2.333,1)*VLOOKUP($A132,'Página7'!$A$1:$AA$27,COLUMN(),TRUE),2)</f>
        <v>11665.43</v>
      </c>
      <c r="P132" s="48">
        <f>VLOOKUP($A132,'Página7'!$A$1:$AA$27,COLUMN(),TRUE)</f>
        <v>29761.03</v>
      </c>
      <c r="Q132" s="48">
        <f>VLOOKUP($A132,'Página7'!$A$1:$AA$27,COLUMN(),TRUE)</f>
        <v>16605.16</v>
      </c>
      <c r="R132" s="48">
        <f>VLOOKUP($A132,'Página7'!$A$1:$AA$27,COLUMN(),TRUE)</f>
        <v>29760.95</v>
      </c>
      <c r="S132" s="48">
        <f>VLOOKUP($A132,'Página7'!$A$1:$AA$27,COLUMN(),TRUE)</f>
        <v>11500</v>
      </c>
      <c r="T132" s="48">
        <f>VLOOKUP($A132,'Página7'!$A$1:$AA$27,COLUMN(),TRUE)</f>
        <v>17740.89</v>
      </c>
      <c r="U132" s="48">
        <f>VLOOKUP($A132,'Página7'!$A$1:$AA$27,COLUMN(),TRUE)</f>
        <v>6900</v>
      </c>
      <c r="V132" s="48">
        <f>VLOOKUP($A132,'Página7'!$A$1:$AA$27,COLUMN(),TRUE)</f>
        <v>19209.43475</v>
      </c>
      <c r="W132" s="48">
        <f>VLOOKUP($A132,'Página7'!$A$1:$AA$27,COLUMN(),TRUE)</f>
        <v>12038.741</v>
      </c>
      <c r="X132" s="48">
        <f>VLOOKUP($A132,'Página7'!$A$1:$AA$27,COLUMN(),TRUE)</f>
        <v>19209.39125</v>
      </c>
      <c r="Y132" s="48">
        <f>VLOOKUP($A132,'Página7'!$A$1:$AA$27,COLUMN(),TRUE)</f>
        <v>8337.5</v>
      </c>
      <c r="Z132" s="48">
        <f>VLOOKUP($A132,'Página7'!$A$1:$AA$27,COLUMN(),TRUE)</f>
        <v>12150.61</v>
      </c>
      <c r="AA132" s="48">
        <f>VLOOKUP($A132,'Página7'!$A$1:$AA$27,COLUMN(),TRUE)</f>
        <v>5002.5</v>
      </c>
    </row>
    <row r="133">
      <c r="A133" s="34">
        <v>46357.0</v>
      </c>
      <c r="B133" s="48">
        <f>ROUND(IF(MONTH($A133)=12,2.333,1)*VLOOKUP($A133,'Página7'!$A$1:$AA$27,COLUMN(),TRUE),2)</f>
        <v>108172.32</v>
      </c>
      <c r="C133" s="48">
        <f t="shared" si="7"/>
        <v>107203.85</v>
      </c>
      <c r="D133" s="48">
        <f>ROUND(IF(MONTH($A133)=12,2.333,1)*VLOOKUP($A133,'Página7'!$A$1:$AA$27,COLUMN(),TRUE),2)</f>
        <v>96469.55</v>
      </c>
      <c r="E133" s="48">
        <f t="shared" si="2"/>
        <v>93578.85</v>
      </c>
      <c r="F133" s="48">
        <f t="shared" si="3"/>
        <v>55877.43</v>
      </c>
      <c r="G133" s="48">
        <f>ROUND(IF(MONTH($A133)=12,2.333,1)*VLOOKUP($A133,'Página7'!$A$1:$AA$27,COLUMN(),TRUE),2)</f>
        <v>85607.1</v>
      </c>
      <c r="H133" s="48">
        <f>ROUND(IF(MONTH($A133)=12,2.333,1)*VLOOKUP($A133,'Página7'!$A$1:$AA$27,COLUMN(),TRUE),2)</f>
        <v>39462</v>
      </c>
      <c r="I133" s="48">
        <f>ROUND(IF(MONTH($A133)=12,2.333,1)*VLOOKUP($A133,'Página7'!$A$1:$AA$27,COLUMN(),TRUE),2)</f>
        <v>67565.58</v>
      </c>
      <c r="J133" s="48">
        <f t="shared" si="8"/>
        <v>72199.85</v>
      </c>
      <c r="K133" s="48">
        <f>ROUND(IF(MONTH($A133)=12,2.333,1)*VLOOKUP($A133,'Página7'!$A$1:$AA$27,COLUMN(),TRUE),2)</f>
        <v>60693.14</v>
      </c>
      <c r="L133" s="48">
        <f t="shared" si="5"/>
        <v>62321.76</v>
      </c>
      <c r="M133" s="48">
        <f t="shared" si="6"/>
        <v>38851.12</v>
      </c>
      <c r="N133" s="48">
        <f>ROUND(IF(MONTH($A133)=12,2.333,1)*VLOOKUP($A133,'Página7'!$A$1:$AA$27,COLUMN(),TRUE),2)</f>
        <v>54314.16</v>
      </c>
      <c r="O133" s="48">
        <f>ROUND(IF(MONTH($A133)=12,2.333,1)*VLOOKUP($A133,'Página7'!$A$1:$AA$27,COLUMN(),TRUE),2)</f>
        <v>27215.45</v>
      </c>
      <c r="P133" s="48">
        <f>VLOOKUP($A133,'Página7'!$A$1:$AA$27,COLUMN(),TRUE)</f>
        <v>29761.03</v>
      </c>
      <c r="Q133" s="48">
        <f>VLOOKUP($A133,'Página7'!$A$1:$AA$27,COLUMN(),TRUE)</f>
        <v>16605.16</v>
      </c>
      <c r="R133" s="48">
        <f>VLOOKUP($A133,'Página7'!$A$1:$AA$27,COLUMN(),TRUE)</f>
        <v>29760.95</v>
      </c>
      <c r="S133" s="48">
        <f>VLOOKUP($A133,'Página7'!$A$1:$AA$27,COLUMN(),TRUE)</f>
        <v>11500</v>
      </c>
      <c r="T133" s="48">
        <f>VLOOKUP($A133,'Página7'!$A$1:$AA$27,COLUMN(),TRUE)</f>
        <v>17740.89</v>
      </c>
      <c r="U133" s="48">
        <f>VLOOKUP($A133,'Página7'!$A$1:$AA$27,COLUMN(),TRUE)</f>
        <v>6900</v>
      </c>
      <c r="V133" s="48">
        <f>VLOOKUP($A133,'Página7'!$A$1:$AA$27,COLUMN(),TRUE)</f>
        <v>19209.43475</v>
      </c>
      <c r="W133" s="48">
        <f>VLOOKUP($A133,'Página7'!$A$1:$AA$27,COLUMN(),TRUE)</f>
        <v>12038.741</v>
      </c>
      <c r="X133" s="48">
        <f>VLOOKUP($A133,'Página7'!$A$1:$AA$27,COLUMN(),TRUE)</f>
        <v>19209.39125</v>
      </c>
      <c r="Y133" s="48">
        <f>VLOOKUP($A133,'Página7'!$A$1:$AA$27,COLUMN(),TRUE)</f>
        <v>8337.5</v>
      </c>
      <c r="Z133" s="48">
        <f>VLOOKUP($A133,'Página7'!$A$1:$AA$27,COLUMN(),TRUE)</f>
        <v>12150.61</v>
      </c>
      <c r="AA133" s="48">
        <f>VLOOKUP($A133,'Página7'!$A$1:$AA$27,COLUMN(),TRUE)</f>
        <v>5002.5</v>
      </c>
    </row>
    <row r="134">
      <c r="A134" s="34">
        <v>46388.0</v>
      </c>
      <c r="B134" s="48">
        <f>ROUND(IF(MONTH($A134)=12,2.333,1)*VLOOKUP($A134,'Página7'!$A$1:$AA$27,COLUMN(),TRUE),2)</f>
        <v>46366.19</v>
      </c>
      <c r="C134" s="48">
        <f t="shared" si="7"/>
        <v>45951.07</v>
      </c>
      <c r="D134" s="48">
        <f>ROUND(IF(MONTH($A134)=12,2.333,1)*VLOOKUP($A134,'Página7'!$A$1:$AA$27,COLUMN(),TRUE),2)</f>
        <v>41350</v>
      </c>
      <c r="E134" s="48">
        <f t="shared" si="2"/>
        <v>40110.95</v>
      </c>
      <c r="F134" s="48">
        <f t="shared" si="3"/>
        <v>23950.89</v>
      </c>
      <c r="G134" s="48">
        <f>ROUND(IF(MONTH($A134)=12,2.333,1)*VLOOKUP($A134,'Página7'!$A$1:$AA$27,COLUMN(),TRUE),2)</f>
        <v>36694</v>
      </c>
      <c r="H134" s="48">
        <f>ROUND(IF(MONTH($A134)=12,2.333,1)*VLOOKUP($A134,'Página7'!$A$1:$AA$27,COLUMN(),TRUE),2)</f>
        <v>16914.7</v>
      </c>
      <c r="I134" s="48">
        <f>ROUND(IF(MONTH($A134)=12,2.333,1)*VLOOKUP($A134,'Página7'!$A$1:$AA$27,COLUMN(),TRUE),2)</f>
        <v>28960.82</v>
      </c>
      <c r="J134" s="48">
        <f t="shared" si="8"/>
        <v>30947.21</v>
      </c>
      <c r="K134" s="48">
        <f>ROUND(IF(MONTH($A134)=12,2.333,1)*VLOOKUP($A134,'Página7'!$A$1:$AA$27,COLUMN(),TRUE),2)</f>
        <v>26015.06</v>
      </c>
      <c r="L134" s="48">
        <f t="shared" si="5"/>
        <v>26713.14</v>
      </c>
      <c r="M134" s="48">
        <f t="shared" si="6"/>
        <v>16652.86</v>
      </c>
      <c r="N134" s="48">
        <f>ROUND(IF(MONTH($A134)=12,2.333,1)*VLOOKUP($A134,'Página7'!$A$1:$AA$27,COLUMN(),TRUE),2)</f>
        <v>23280.82</v>
      </c>
      <c r="O134" s="48">
        <f>ROUND(IF(MONTH($A134)=12,2.333,1)*VLOOKUP($A134,'Página7'!$A$1:$AA$27,COLUMN(),TRUE),2)</f>
        <v>11665.43</v>
      </c>
      <c r="P134" s="48">
        <f>VLOOKUP($A134,'Página7'!$A$1:$AA$27,COLUMN(),TRUE)</f>
        <v>29761.03</v>
      </c>
      <c r="Q134" s="48">
        <f>VLOOKUP($A134,'Página7'!$A$1:$AA$27,COLUMN(),TRUE)</f>
        <v>16605.16</v>
      </c>
      <c r="R134" s="48">
        <f>VLOOKUP($A134,'Página7'!$A$1:$AA$27,COLUMN(),TRUE)</f>
        <v>29760.95</v>
      </c>
      <c r="S134" s="48">
        <f>VLOOKUP($A134,'Página7'!$A$1:$AA$27,COLUMN(),TRUE)</f>
        <v>11500</v>
      </c>
      <c r="T134" s="48">
        <f>VLOOKUP($A134,'Página7'!$A$1:$AA$27,COLUMN(),TRUE)</f>
        <v>17740.89</v>
      </c>
      <c r="U134" s="48">
        <f>VLOOKUP($A134,'Página7'!$A$1:$AA$27,COLUMN(),TRUE)</f>
        <v>6900</v>
      </c>
      <c r="V134" s="48">
        <f>VLOOKUP($A134,'Página7'!$A$1:$AA$27,COLUMN(),TRUE)</f>
        <v>19209.43475</v>
      </c>
      <c r="W134" s="48">
        <f>VLOOKUP($A134,'Página7'!$A$1:$AA$27,COLUMN(),TRUE)</f>
        <v>12038.741</v>
      </c>
      <c r="X134" s="48">
        <f>VLOOKUP($A134,'Página7'!$A$1:$AA$27,COLUMN(),TRUE)</f>
        <v>19209.39125</v>
      </c>
      <c r="Y134" s="48">
        <f>VLOOKUP($A134,'Página7'!$A$1:$AA$27,COLUMN(),TRUE)</f>
        <v>8337.5</v>
      </c>
      <c r="Z134" s="48">
        <f>VLOOKUP($A134,'Página7'!$A$1:$AA$27,COLUMN(),TRUE)</f>
        <v>12150.61</v>
      </c>
      <c r="AA134" s="48">
        <f>VLOOKUP($A134,'Página7'!$A$1:$AA$27,COLUMN(),TRUE)</f>
        <v>5002.5</v>
      </c>
    </row>
    <row r="135">
      <c r="A135" s="34">
        <v>46419.0</v>
      </c>
      <c r="B135" s="48">
        <f>ROUND(IF(MONTH($A135)=12,2.333,1)*VLOOKUP($A135,'Página7'!$A$1:$AA$27,COLUMN(),TRUE),2)</f>
        <v>46366.19</v>
      </c>
      <c r="C135" s="48">
        <f t="shared" si="7"/>
        <v>45951.07</v>
      </c>
      <c r="D135" s="48">
        <f>ROUND(IF(MONTH($A135)=12,2.333,1)*VLOOKUP($A135,'Página7'!$A$1:$AA$27,COLUMN(),TRUE),2)</f>
        <v>41350</v>
      </c>
      <c r="E135" s="48">
        <f t="shared" si="2"/>
        <v>40473.2</v>
      </c>
      <c r="F135" s="48">
        <f t="shared" si="3"/>
        <v>24168.24</v>
      </c>
      <c r="G135" s="48">
        <f>ROUND(IF(MONTH($A135)=12,2.333,1)*VLOOKUP($A135,'Página7'!$A$1:$AA$27,COLUMN(),TRUE),2)</f>
        <v>36694</v>
      </c>
      <c r="H135" s="48">
        <f>ROUND(IF(MONTH($A135)=12,2.333,1)*VLOOKUP($A135,'Página7'!$A$1:$AA$27,COLUMN(),TRUE),2)</f>
        <v>16914.7</v>
      </c>
      <c r="I135" s="48">
        <f>ROUND(IF(MONTH($A135)=12,2.333,1)*VLOOKUP($A135,'Página7'!$A$1:$AA$27,COLUMN(),TRUE),2)</f>
        <v>28960.82</v>
      </c>
      <c r="J135" s="48">
        <f t="shared" si="8"/>
        <v>30947.21</v>
      </c>
      <c r="K135" s="48">
        <f>ROUND(IF(MONTH($A135)=12,2.333,1)*VLOOKUP($A135,'Página7'!$A$1:$AA$27,COLUMN(),TRUE),2)</f>
        <v>26015.06</v>
      </c>
      <c r="L135" s="48">
        <f t="shared" si="5"/>
        <v>26975.77</v>
      </c>
      <c r="M135" s="48">
        <f t="shared" si="6"/>
        <v>16810.44</v>
      </c>
      <c r="N135" s="48">
        <f>ROUND(IF(MONTH($A135)=12,2.333,1)*VLOOKUP($A135,'Página7'!$A$1:$AA$27,COLUMN(),TRUE),2)</f>
        <v>23280.82</v>
      </c>
      <c r="O135" s="48">
        <f>ROUND(IF(MONTH($A135)=12,2.333,1)*VLOOKUP($A135,'Página7'!$A$1:$AA$27,COLUMN(),TRUE),2)</f>
        <v>11665.43</v>
      </c>
      <c r="P135" s="48">
        <f>VLOOKUP($A135,'Página7'!$A$1:$AA$27,COLUMN(),TRUE)</f>
        <v>29761.03</v>
      </c>
      <c r="Q135" s="48">
        <f>VLOOKUP($A135,'Página7'!$A$1:$AA$27,COLUMN(),TRUE)</f>
        <v>16605.16</v>
      </c>
      <c r="R135" s="48">
        <f>VLOOKUP($A135,'Página7'!$A$1:$AA$27,COLUMN(),TRUE)</f>
        <v>29760.95</v>
      </c>
      <c r="S135" s="48">
        <f>VLOOKUP($A135,'Página7'!$A$1:$AA$27,COLUMN(),TRUE)</f>
        <v>11902.5</v>
      </c>
      <c r="T135" s="48">
        <f>VLOOKUP($A135,'Página7'!$A$1:$AA$27,COLUMN(),TRUE)</f>
        <v>17740.89</v>
      </c>
      <c r="U135" s="48">
        <f>VLOOKUP($A135,'Página7'!$A$1:$AA$27,COLUMN(),TRUE)</f>
        <v>7141.5</v>
      </c>
      <c r="V135" s="48">
        <f>VLOOKUP($A135,'Página7'!$A$1:$AA$27,COLUMN(),TRUE)</f>
        <v>19209.43475</v>
      </c>
      <c r="W135" s="48">
        <f>VLOOKUP($A135,'Página7'!$A$1:$AA$27,COLUMN(),TRUE)</f>
        <v>12038.741</v>
      </c>
      <c r="X135" s="48">
        <f>VLOOKUP($A135,'Página7'!$A$1:$AA$27,COLUMN(),TRUE)</f>
        <v>19209.39125</v>
      </c>
      <c r="Y135" s="48">
        <f>VLOOKUP($A135,'Página7'!$A$1:$AA$27,COLUMN(),TRUE)</f>
        <v>8629.3125</v>
      </c>
      <c r="Z135" s="48">
        <f>VLOOKUP($A135,'Página7'!$A$1:$AA$27,COLUMN(),TRUE)</f>
        <v>12150.61</v>
      </c>
      <c r="AA135" s="48">
        <f>VLOOKUP($A135,'Página7'!$A$1:$AA$27,COLUMN(),TRUE)</f>
        <v>5177.5875</v>
      </c>
    </row>
    <row r="136">
      <c r="A136" s="34">
        <v>46447.0</v>
      </c>
      <c r="B136" s="48">
        <f>ROUND(IF(MONTH($A136)=12,2.333,1)*VLOOKUP($A136,'Página7'!$A$1:$AA$27,COLUMN(),TRUE),2)</f>
        <v>46366.19</v>
      </c>
      <c r="C136" s="48">
        <f t="shared" si="7"/>
        <v>45951.07</v>
      </c>
      <c r="D136" s="48">
        <f>ROUND(IF(MONTH($A136)=12,2.333,1)*VLOOKUP($A136,'Página7'!$A$1:$AA$27,COLUMN(),TRUE),2)</f>
        <v>41350</v>
      </c>
      <c r="E136" s="48">
        <f t="shared" si="2"/>
        <v>40473.2</v>
      </c>
      <c r="F136" s="48">
        <f t="shared" si="3"/>
        <v>24168.24</v>
      </c>
      <c r="G136" s="48">
        <f>ROUND(IF(MONTH($A136)=12,2.333,1)*VLOOKUP($A136,'Página7'!$A$1:$AA$27,COLUMN(),TRUE),2)</f>
        <v>36694</v>
      </c>
      <c r="H136" s="48">
        <f>ROUND(IF(MONTH($A136)=12,2.333,1)*VLOOKUP($A136,'Página7'!$A$1:$AA$27,COLUMN(),TRUE),2)</f>
        <v>16914.7</v>
      </c>
      <c r="I136" s="48">
        <f>ROUND(IF(MONTH($A136)=12,2.333,1)*VLOOKUP($A136,'Página7'!$A$1:$AA$27,COLUMN(),TRUE),2)</f>
        <v>28960.82</v>
      </c>
      <c r="J136" s="48">
        <f t="shared" si="8"/>
        <v>30947.21</v>
      </c>
      <c r="K136" s="48">
        <f>ROUND(IF(MONTH($A136)=12,2.333,1)*VLOOKUP($A136,'Página7'!$A$1:$AA$27,COLUMN(),TRUE),2)</f>
        <v>26015.06</v>
      </c>
      <c r="L136" s="48">
        <f t="shared" si="5"/>
        <v>26975.77</v>
      </c>
      <c r="M136" s="48">
        <f t="shared" si="6"/>
        <v>16810.44</v>
      </c>
      <c r="N136" s="48">
        <f>ROUND(IF(MONTH($A136)=12,2.333,1)*VLOOKUP($A136,'Página7'!$A$1:$AA$27,COLUMN(),TRUE),2)</f>
        <v>23280.82</v>
      </c>
      <c r="O136" s="48">
        <f>ROUND(IF(MONTH($A136)=12,2.333,1)*VLOOKUP($A136,'Página7'!$A$1:$AA$27,COLUMN(),TRUE),2)</f>
        <v>11665.43</v>
      </c>
      <c r="P136" s="48">
        <f>VLOOKUP($A136,'Página7'!$A$1:$AA$27,COLUMN(),TRUE)</f>
        <v>29761.03</v>
      </c>
      <c r="Q136" s="48">
        <f>VLOOKUP($A136,'Página7'!$A$1:$AA$27,COLUMN(),TRUE)</f>
        <v>16605.16</v>
      </c>
      <c r="R136" s="48">
        <f>VLOOKUP($A136,'Página7'!$A$1:$AA$27,COLUMN(),TRUE)</f>
        <v>29760.95</v>
      </c>
      <c r="S136" s="48">
        <f>VLOOKUP($A136,'Página7'!$A$1:$AA$27,COLUMN(),TRUE)</f>
        <v>11902.5</v>
      </c>
      <c r="T136" s="48">
        <f>VLOOKUP($A136,'Página7'!$A$1:$AA$27,COLUMN(),TRUE)</f>
        <v>17740.89</v>
      </c>
      <c r="U136" s="48">
        <f>VLOOKUP($A136,'Página7'!$A$1:$AA$27,COLUMN(),TRUE)</f>
        <v>7141.5</v>
      </c>
      <c r="V136" s="48">
        <f>VLOOKUP($A136,'Página7'!$A$1:$AA$27,COLUMN(),TRUE)</f>
        <v>19209.43475</v>
      </c>
      <c r="W136" s="48">
        <f>VLOOKUP($A136,'Página7'!$A$1:$AA$27,COLUMN(),TRUE)</f>
        <v>12038.741</v>
      </c>
      <c r="X136" s="48">
        <f>VLOOKUP($A136,'Página7'!$A$1:$AA$27,COLUMN(),TRUE)</f>
        <v>19209.39125</v>
      </c>
      <c r="Y136" s="48">
        <f>VLOOKUP($A136,'Página7'!$A$1:$AA$27,COLUMN(),TRUE)</f>
        <v>8629.3125</v>
      </c>
      <c r="Z136" s="48">
        <f>VLOOKUP($A136,'Página7'!$A$1:$AA$27,COLUMN(),TRUE)</f>
        <v>12150.61</v>
      </c>
      <c r="AA136" s="48">
        <f>VLOOKUP($A136,'Página7'!$A$1:$AA$27,COLUMN(),TRUE)</f>
        <v>5177.5875</v>
      </c>
    </row>
    <row r="137">
      <c r="A137" s="34">
        <v>46478.0</v>
      </c>
      <c r="B137" s="48">
        <f>ROUND(IF(MONTH($A137)=12,2.333,1)*VLOOKUP($A137,'Página7'!$A$1:$AA$27,COLUMN(),TRUE),2)</f>
        <v>46366.19</v>
      </c>
      <c r="C137" s="48">
        <f t="shared" si="7"/>
        <v>45951.07</v>
      </c>
      <c r="D137" s="48">
        <f>ROUND(IF(MONTH($A137)=12,2.333,1)*VLOOKUP($A137,'Página7'!$A$1:$AA$27,COLUMN(),TRUE),2)</f>
        <v>41350</v>
      </c>
      <c r="E137" s="48">
        <f t="shared" si="2"/>
        <v>40473.2</v>
      </c>
      <c r="F137" s="48">
        <f t="shared" si="3"/>
        <v>24168.24</v>
      </c>
      <c r="G137" s="48">
        <f>ROUND(IF(MONTH($A137)=12,2.333,1)*VLOOKUP($A137,'Página7'!$A$1:$AA$27,COLUMN(),TRUE),2)</f>
        <v>36694</v>
      </c>
      <c r="H137" s="48">
        <f>ROUND(IF(MONTH($A137)=12,2.333,1)*VLOOKUP($A137,'Página7'!$A$1:$AA$27,COLUMN(),TRUE),2)</f>
        <v>16914.7</v>
      </c>
      <c r="I137" s="48">
        <f>ROUND(IF(MONTH($A137)=12,2.333,1)*VLOOKUP($A137,'Página7'!$A$1:$AA$27,COLUMN(),TRUE),2)</f>
        <v>28960.82</v>
      </c>
      <c r="J137" s="48">
        <f t="shared" si="8"/>
        <v>30947.21</v>
      </c>
      <c r="K137" s="48">
        <f>ROUND(IF(MONTH($A137)=12,2.333,1)*VLOOKUP($A137,'Página7'!$A$1:$AA$27,COLUMN(),TRUE),2)</f>
        <v>26015.06</v>
      </c>
      <c r="L137" s="48">
        <f t="shared" si="5"/>
        <v>26975.77</v>
      </c>
      <c r="M137" s="48">
        <f t="shared" si="6"/>
        <v>16810.44</v>
      </c>
      <c r="N137" s="48">
        <f>ROUND(IF(MONTH($A137)=12,2.333,1)*VLOOKUP($A137,'Página7'!$A$1:$AA$27,COLUMN(),TRUE),2)</f>
        <v>23280.82</v>
      </c>
      <c r="O137" s="48">
        <f>ROUND(IF(MONTH($A137)=12,2.333,1)*VLOOKUP($A137,'Página7'!$A$1:$AA$27,COLUMN(),TRUE),2)</f>
        <v>11665.43</v>
      </c>
      <c r="P137" s="48">
        <f>VLOOKUP($A137,'Página7'!$A$1:$AA$27,COLUMN(),TRUE)</f>
        <v>29761.03</v>
      </c>
      <c r="Q137" s="48">
        <f>VLOOKUP($A137,'Página7'!$A$1:$AA$27,COLUMN(),TRUE)</f>
        <v>16605.16</v>
      </c>
      <c r="R137" s="48">
        <f>VLOOKUP($A137,'Página7'!$A$1:$AA$27,COLUMN(),TRUE)</f>
        <v>29760.95</v>
      </c>
      <c r="S137" s="48">
        <f>VLOOKUP($A137,'Página7'!$A$1:$AA$27,COLUMN(),TRUE)</f>
        <v>11902.5</v>
      </c>
      <c r="T137" s="48">
        <f>VLOOKUP($A137,'Página7'!$A$1:$AA$27,COLUMN(),TRUE)</f>
        <v>17740.89</v>
      </c>
      <c r="U137" s="48">
        <f>VLOOKUP($A137,'Página7'!$A$1:$AA$27,COLUMN(),TRUE)</f>
        <v>7141.5</v>
      </c>
      <c r="V137" s="48">
        <f>VLOOKUP($A137,'Página7'!$A$1:$AA$27,COLUMN(),TRUE)</f>
        <v>19209.43475</v>
      </c>
      <c r="W137" s="48">
        <f>VLOOKUP($A137,'Página7'!$A$1:$AA$27,COLUMN(),TRUE)</f>
        <v>12038.741</v>
      </c>
      <c r="X137" s="48">
        <f>VLOOKUP($A137,'Página7'!$A$1:$AA$27,COLUMN(),TRUE)</f>
        <v>19209.39125</v>
      </c>
      <c r="Y137" s="48">
        <f>VLOOKUP($A137,'Página7'!$A$1:$AA$27,COLUMN(),TRUE)</f>
        <v>8629.3125</v>
      </c>
      <c r="Z137" s="48">
        <f>VLOOKUP($A137,'Página7'!$A$1:$AA$27,COLUMN(),TRUE)</f>
        <v>12150.61</v>
      </c>
      <c r="AA137" s="48">
        <f>VLOOKUP($A137,'Página7'!$A$1:$AA$27,COLUMN(),TRUE)</f>
        <v>5177.5875</v>
      </c>
    </row>
    <row r="138">
      <c r="A138" s="34">
        <v>46508.0</v>
      </c>
      <c r="B138" s="48">
        <f>ROUND(IF(MONTH($A138)=12,2.333,1)*VLOOKUP($A138,'Página7'!$A$1:$AA$27,COLUMN(),TRUE),2)</f>
        <v>46366.19</v>
      </c>
      <c r="C138" s="48">
        <f t="shared" si="7"/>
        <v>45951.07</v>
      </c>
      <c r="D138" s="48">
        <f>ROUND(IF(MONTH($A138)=12,2.333,1)*VLOOKUP($A138,'Página7'!$A$1:$AA$27,COLUMN(),TRUE),2)</f>
        <v>41350</v>
      </c>
      <c r="E138" s="48">
        <f t="shared" si="2"/>
        <v>40473.2</v>
      </c>
      <c r="F138" s="48">
        <f t="shared" si="3"/>
        <v>24168.24</v>
      </c>
      <c r="G138" s="48">
        <f>ROUND(IF(MONTH($A138)=12,2.333,1)*VLOOKUP($A138,'Página7'!$A$1:$AA$27,COLUMN(),TRUE),2)</f>
        <v>36694</v>
      </c>
      <c r="H138" s="48">
        <f>ROUND(IF(MONTH($A138)=12,2.333,1)*VLOOKUP($A138,'Página7'!$A$1:$AA$27,COLUMN(),TRUE),2)</f>
        <v>16914.7</v>
      </c>
      <c r="I138" s="48">
        <f>ROUND(IF(MONTH($A138)=12,2.333,1)*VLOOKUP($A138,'Página7'!$A$1:$AA$27,COLUMN(),TRUE),2)</f>
        <v>28960.82</v>
      </c>
      <c r="J138" s="48">
        <f t="shared" si="8"/>
        <v>30947.21</v>
      </c>
      <c r="K138" s="48">
        <f>ROUND(IF(MONTH($A138)=12,2.333,1)*VLOOKUP($A138,'Página7'!$A$1:$AA$27,COLUMN(),TRUE),2)</f>
        <v>26015.06</v>
      </c>
      <c r="L138" s="48">
        <f t="shared" si="5"/>
        <v>26975.77</v>
      </c>
      <c r="M138" s="48">
        <f t="shared" si="6"/>
        <v>16810.44</v>
      </c>
      <c r="N138" s="48">
        <f>ROUND(IF(MONTH($A138)=12,2.333,1)*VLOOKUP($A138,'Página7'!$A$1:$AA$27,COLUMN(),TRUE),2)</f>
        <v>23280.82</v>
      </c>
      <c r="O138" s="48">
        <f>ROUND(IF(MONTH($A138)=12,2.333,1)*VLOOKUP($A138,'Página7'!$A$1:$AA$27,COLUMN(),TRUE),2)</f>
        <v>11665.43</v>
      </c>
      <c r="P138" s="48">
        <f>VLOOKUP($A138,'Página7'!$A$1:$AA$27,COLUMN(),TRUE)</f>
        <v>29761.03</v>
      </c>
      <c r="Q138" s="48">
        <f>VLOOKUP($A138,'Página7'!$A$1:$AA$27,COLUMN(),TRUE)</f>
        <v>16605.16</v>
      </c>
      <c r="R138" s="48">
        <f>VLOOKUP($A138,'Página7'!$A$1:$AA$27,COLUMN(),TRUE)</f>
        <v>29760.95</v>
      </c>
      <c r="S138" s="48">
        <f>VLOOKUP($A138,'Página7'!$A$1:$AA$27,COLUMN(),TRUE)</f>
        <v>11902.5</v>
      </c>
      <c r="T138" s="48">
        <f>VLOOKUP($A138,'Página7'!$A$1:$AA$27,COLUMN(),TRUE)</f>
        <v>17740.89</v>
      </c>
      <c r="U138" s="48">
        <f>VLOOKUP($A138,'Página7'!$A$1:$AA$27,COLUMN(),TRUE)</f>
        <v>7141.5</v>
      </c>
      <c r="V138" s="48">
        <f>VLOOKUP($A138,'Página7'!$A$1:$AA$27,COLUMN(),TRUE)</f>
        <v>19209.43475</v>
      </c>
      <c r="W138" s="48">
        <f>VLOOKUP($A138,'Página7'!$A$1:$AA$27,COLUMN(),TRUE)</f>
        <v>12038.741</v>
      </c>
      <c r="X138" s="48">
        <f>VLOOKUP($A138,'Página7'!$A$1:$AA$27,COLUMN(),TRUE)</f>
        <v>19209.39125</v>
      </c>
      <c r="Y138" s="48">
        <f>VLOOKUP($A138,'Página7'!$A$1:$AA$27,COLUMN(),TRUE)</f>
        <v>8629.3125</v>
      </c>
      <c r="Z138" s="48">
        <f>VLOOKUP($A138,'Página7'!$A$1:$AA$27,COLUMN(),TRUE)</f>
        <v>12150.61</v>
      </c>
      <c r="AA138" s="48">
        <f>VLOOKUP($A138,'Página7'!$A$1:$AA$27,COLUMN(),TRUE)</f>
        <v>5177.5875</v>
      </c>
    </row>
    <row r="139">
      <c r="A139" s="34">
        <v>46539.0</v>
      </c>
      <c r="B139" s="48">
        <f>ROUND(IF(MONTH($A139)=12,2.333,1)*VLOOKUP($A139,'Página7'!$A$1:$AA$27,COLUMN(),TRUE),2)</f>
        <v>46366.19</v>
      </c>
      <c r="C139" s="48">
        <f t="shared" si="7"/>
        <v>45951.07</v>
      </c>
      <c r="D139" s="48">
        <f>ROUND(IF(MONTH($A139)=12,2.333,1)*VLOOKUP($A139,'Página7'!$A$1:$AA$27,COLUMN(),TRUE),2)</f>
        <v>41350</v>
      </c>
      <c r="E139" s="48">
        <f t="shared" si="2"/>
        <v>40473.2</v>
      </c>
      <c r="F139" s="48">
        <f t="shared" si="3"/>
        <v>24168.24</v>
      </c>
      <c r="G139" s="48">
        <f>ROUND(IF(MONTH($A139)=12,2.333,1)*VLOOKUP($A139,'Página7'!$A$1:$AA$27,COLUMN(),TRUE),2)</f>
        <v>36694</v>
      </c>
      <c r="H139" s="48">
        <f>ROUND(IF(MONTH($A139)=12,2.333,1)*VLOOKUP($A139,'Página7'!$A$1:$AA$27,COLUMN(),TRUE),2)</f>
        <v>16914.7</v>
      </c>
      <c r="I139" s="48">
        <f>ROUND(IF(MONTH($A139)=12,2.333,1)*VLOOKUP($A139,'Página7'!$A$1:$AA$27,COLUMN(),TRUE),2)</f>
        <v>28960.82</v>
      </c>
      <c r="J139" s="48">
        <f t="shared" si="8"/>
        <v>30947.21</v>
      </c>
      <c r="K139" s="48">
        <f>ROUND(IF(MONTH($A139)=12,2.333,1)*VLOOKUP($A139,'Página7'!$A$1:$AA$27,COLUMN(),TRUE),2)</f>
        <v>26015.06</v>
      </c>
      <c r="L139" s="48">
        <f t="shared" si="5"/>
        <v>26975.77</v>
      </c>
      <c r="M139" s="48">
        <f t="shared" si="6"/>
        <v>16810.44</v>
      </c>
      <c r="N139" s="48">
        <f>ROUND(IF(MONTH($A139)=12,2.333,1)*VLOOKUP($A139,'Página7'!$A$1:$AA$27,COLUMN(),TRUE),2)</f>
        <v>23280.82</v>
      </c>
      <c r="O139" s="48">
        <f>ROUND(IF(MONTH($A139)=12,2.333,1)*VLOOKUP($A139,'Página7'!$A$1:$AA$27,COLUMN(),TRUE),2)</f>
        <v>11665.43</v>
      </c>
      <c r="P139" s="48">
        <f>VLOOKUP($A139,'Página7'!$A$1:$AA$27,COLUMN(),TRUE)</f>
        <v>29761.03</v>
      </c>
      <c r="Q139" s="48">
        <f>VLOOKUP($A139,'Página7'!$A$1:$AA$27,COLUMN(),TRUE)</f>
        <v>16605.16</v>
      </c>
      <c r="R139" s="48">
        <f>VLOOKUP($A139,'Página7'!$A$1:$AA$27,COLUMN(),TRUE)</f>
        <v>29760.95</v>
      </c>
      <c r="S139" s="48">
        <f>VLOOKUP($A139,'Página7'!$A$1:$AA$27,COLUMN(),TRUE)</f>
        <v>11902.5</v>
      </c>
      <c r="T139" s="48">
        <f>VLOOKUP($A139,'Página7'!$A$1:$AA$27,COLUMN(),TRUE)</f>
        <v>17740.89</v>
      </c>
      <c r="U139" s="48">
        <f>VLOOKUP($A139,'Página7'!$A$1:$AA$27,COLUMN(),TRUE)</f>
        <v>7141.5</v>
      </c>
      <c r="V139" s="48">
        <f>VLOOKUP($A139,'Página7'!$A$1:$AA$27,COLUMN(),TRUE)</f>
        <v>19209.43475</v>
      </c>
      <c r="W139" s="48">
        <f>VLOOKUP($A139,'Página7'!$A$1:$AA$27,COLUMN(),TRUE)</f>
        <v>12038.741</v>
      </c>
      <c r="X139" s="48">
        <f>VLOOKUP($A139,'Página7'!$A$1:$AA$27,COLUMN(),TRUE)</f>
        <v>19209.39125</v>
      </c>
      <c r="Y139" s="48">
        <f>VLOOKUP($A139,'Página7'!$A$1:$AA$27,COLUMN(),TRUE)</f>
        <v>8629.3125</v>
      </c>
      <c r="Z139" s="48">
        <f>VLOOKUP($A139,'Página7'!$A$1:$AA$27,COLUMN(),TRUE)</f>
        <v>12150.61</v>
      </c>
      <c r="AA139" s="48">
        <f>VLOOKUP($A139,'Página7'!$A$1:$AA$27,COLUMN(),TRUE)</f>
        <v>5177.5875</v>
      </c>
    </row>
    <row r="140">
      <c r="A140" s="34">
        <v>46569.0</v>
      </c>
      <c r="B140" s="48">
        <f>ROUND(IF(MONTH($A140)=12,2.333,1)*VLOOKUP($A140,'Página7'!$A$1:$AA$27,COLUMN(),TRUE),2)</f>
        <v>46366.19</v>
      </c>
      <c r="C140" s="48">
        <f t="shared" si="7"/>
        <v>45951.07</v>
      </c>
      <c r="D140" s="48">
        <f>ROUND(IF(MONTH($A140)=12,2.333,1)*VLOOKUP($A140,'Página7'!$A$1:$AA$27,COLUMN(),TRUE),2)</f>
        <v>41350</v>
      </c>
      <c r="E140" s="48">
        <f t="shared" si="2"/>
        <v>40473.2</v>
      </c>
      <c r="F140" s="48">
        <f t="shared" si="3"/>
        <v>24168.24</v>
      </c>
      <c r="G140" s="48">
        <f>ROUND(IF(MONTH($A140)=12,2.333,1)*VLOOKUP($A140,'Página7'!$A$1:$AA$27,COLUMN(),TRUE),2)</f>
        <v>36694</v>
      </c>
      <c r="H140" s="48">
        <f>ROUND(IF(MONTH($A140)=12,2.333,1)*VLOOKUP($A140,'Página7'!$A$1:$AA$27,COLUMN(),TRUE),2)</f>
        <v>16914.7</v>
      </c>
      <c r="I140" s="48">
        <f>ROUND(IF(MONTH($A140)=12,2.333,1)*VLOOKUP($A140,'Página7'!$A$1:$AA$27,COLUMN(),TRUE),2)</f>
        <v>28960.82</v>
      </c>
      <c r="J140" s="48">
        <f t="shared" si="8"/>
        <v>30947.21</v>
      </c>
      <c r="K140" s="48">
        <f>ROUND(IF(MONTH($A140)=12,2.333,1)*VLOOKUP($A140,'Página7'!$A$1:$AA$27,COLUMN(),TRUE),2)</f>
        <v>26015.06</v>
      </c>
      <c r="L140" s="48">
        <f t="shared" si="5"/>
        <v>26975.77</v>
      </c>
      <c r="M140" s="48">
        <f t="shared" si="6"/>
        <v>16810.44</v>
      </c>
      <c r="N140" s="48">
        <f>ROUND(IF(MONTH($A140)=12,2.333,1)*VLOOKUP($A140,'Página7'!$A$1:$AA$27,COLUMN(),TRUE),2)</f>
        <v>23280.82</v>
      </c>
      <c r="O140" s="48">
        <f>ROUND(IF(MONTH($A140)=12,2.333,1)*VLOOKUP($A140,'Página7'!$A$1:$AA$27,COLUMN(),TRUE),2)</f>
        <v>11665.43</v>
      </c>
      <c r="P140" s="48">
        <f>VLOOKUP($A140,'Página7'!$A$1:$AA$27,COLUMN(),TRUE)</f>
        <v>29761.03</v>
      </c>
      <c r="Q140" s="48">
        <f>VLOOKUP($A140,'Página7'!$A$1:$AA$27,COLUMN(),TRUE)</f>
        <v>16605.16</v>
      </c>
      <c r="R140" s="48">
        <f>VLOOKUP($A140,'Página7'!$A$1:$AA$27,COLUMN(),TRUE)</f>
        <v>29760.95</v>
      </c>
      <c r="S140" s="48">
        <f>VLOOKUP($A140,'Página7'!$A$1:$AA$27,COLUMN(),TRUE)</f>
        <v>11902.5</v>
      </c>
      <c r="T140" s="48">
        <f>VLOOKUP($A140,'Página7'!$A$1:$AA$27,COLUMN(),TRUE)</f>
        <v>17740.89</v>
      </c>
      <c r="U140" s="48">
        <f>VLOOKUP($A140,'Página7'!$A$1:$AA$27,COLUMN(),TRUE)</f>
        <v>7141.5</v>
      </c>
      <c r="V140" s="48">
        <f>VLOOKUP($A140,'Página7'!$A$1:$AA$27,COLUMN(),TRUE)</f>
        <v>19209.43475</v>
      </c>
      <c r="W140" s="48">
        <f>VLOOKUP($A140,'Página7'!$A$1:$AA$27,COLUMN(),TRUE)</f>
        <v>12038.741</v>
      </c>
      <c r="X140" s="48">
        <f>VLOOKUP($A140,'Página7'!$A$1:$AA$27,COLUMN(),TRUE)</f>
        <v>19209.39125</v>
      </c>
      <c r="Y140" s="48">
        <f>VLOOKUP($A140,'Página7'!$A$1:$AA$27,COLUMN(),TRUE)</f>
        <v>8629.3125</v>
      </c>
      <c r="Z140" s="48">
        <f>VLOOKUP($A140,'Página7'!$A$1:$AA$27,COLUMN(),TRUE)</f>
        <v>12150.61</v>
      </c>
      <c r="AA140" s="48">
        <f>VLOOKUP($A140,'Página7'!$A$1:$AA$27,COLUMN(),TRUE)</f>
        <v>5177.5875</v>
      </c>
    </row>
    <row r="141">
      <c r="A141" s="34">
        <v>46600.0</v>
      </c>
      <c r="B141" s="48">
        <f>ROUND(IF(MONTH($A141)=12,2.333,1)*VLOOKUP($A141,'Página7'!$A$1:$AA$27,COLUMN(),TRUE),2)</f>
        <v>46366.19</v>
      </c>
      <c r="C141" s="48">
        <f t="shared" si="7"/>
        <v>45951.07</v>
      </c>
      <c r="D141" s="48">
        <f>ROUND(IF(MONTH($A141)=12,2.333,1)*VLOOKUP($A141,'Página7'!$A$1:$AA$27,COLUMN(),TRUE),2)</f>
        <v>41350</v>
      </c>
      <c r="E141" s="48">
        <f t="shared" si="2"/>
        <v>40473.2</v>
      </c>
      <c r="F141" s="48">
        <f t="shared" si="3"/>
        <v>24168.24</v>
      </c>
      <c r="G141" s="48">
        <f>ROUND(IF(MONTH($A141)=12,2.333,1)*VLOOKUP($A141,'Página7'!$A$1:$AA$27,COLUMN(),TRUE),2)</f>
        <v>36694</v>
      </c>
      <c r="H141" s="48">
        <f>ROUND(IF(MONTH($A141)=12,2.333,1)*VLOOKUP($A141,'Página7'!$A$1:$AA$27,COLUMN(),TRUE),2)</f>
        <v>16914.7</v>
      </c>
      <c r="I141" s="48">
        <f>ROUND(IF(MONTH($A141)=12,2.333,1)*VLOOKUP($A141,'Página7'!$A$1:$AA$27,COLUMN(),TRUE),2)</f>
        <v>28960.82</v>
      </c>
      <c r="J141" s="48">
        <f t="shared" si="8"/>
        <v>30947.21</v>
      </c>
      <c r="K141" s="48">
        <f>ROUND(IF(MONTH($A141)=12,2.333,1)*VLOOKUP($A141,'Página7'!$A$1:$AA$27,COLUMN(),TRUE),2)</f>
        <v>26015.06</v>
      </c>
      <c r="L141" s="48">
        <f t="shared" si="5"/>
        <v>26975.77</v>
      </c>
      <c r="M141" s="48">
        <f t="shared" si="6"/>
        <v>16810.44</v>
      </c>
      <c r="N141" s="48">
        <f>ROUND(IF(MONTH($A141)=12,2.333,1)*VLOOKUP($A141,'Página7'!$A$1:$AA$27,COLUMN(),TRUE),2)</f>
        <v>23280.82</v>
      </c>
      <c r="O141" s="48">
        <f>ROUND(IF(MONTH($A141)=12,2.333,1)*VLOOKUP($A141,'Página7'!$A$1:$AA$27,COLUMN(),TRUE),2)</f>
        <v>11665.43</v>
      </c>
      <c r="P141" s="48">
        <f>VLOOKUP($A141,'Página7'!$A$1:$AA$27,COLUMN(),TRUE)</f>
        <v>29761.03</v>
      </c>
      <c r="Q141" s="48">
        <f>VLOOKUP($A141,'Página7'!$A$1:$AA$27,COLUMN(),TRUE)</f>
        <v>16605.16</v>
      </c>
      <c r="R141" s="48">
        <f>VLOOKUP($A141,'Página7'!$A$1:$AA$27,COLUMN(),TRUE)</f>
        <v>29760.95</v>
      </c>
      <c r="S141" s="48">
        <f>VLOOKUP($A141,'Página7'!$A$1:$AA$27,COLUMN(),TRUE)</f>
        <v>11902.5</v>
      </c>
      <c r="T141" s="48">
        <f>VLOOKUP($A141,'Página7'!$A$1:$AA$27,COLUMN(),TRUE)</f>
        <v>17740.89</v>
      </c>
      <c r="U141" s="48">
        <f>VLOOKUP($A141,'Página7'!$A$1:$AA$27,COLUMN(),TRUE)</f>
        <v>7141.5</v>
      </c>
      <c r="V141" s="48">
        <f>VLOOKUP($A141,'Página7'!$A$1:$AA$27,COLUMN(),TRUE)</f>
        <v>19209.43475</v>
      </c>
      <c r="W141" s="48">
        <f>VLOOKUP($A141,'Página7'!$A$1:$AA$27,COLUMN(),TRUE)</f>
        <v>12038.741</v>
      </c>
      <c r="X141" s="48">
        <f>VLOOKUP($A141,'Página7'!$A$1:$AA$27,COLUMN(),TRUE)</f>
        <v>19209.39125</v>
      </c>
      <c r="Y141" s="48">
        <f>VLOOKUP($A141,'Página7'!$A$1:$AA$27,COLUMN(),TRUE)</f>
        <v>8629.3125</v>
      </c>
      <c r="Z141" s="48">
        <f>VLOOKUP($A141,'Página7'!$A$1:$AA$27,COLUMN(),TRUE)</f>
        <v>12150.61</v>
      </c>
      <c r="AA141" s="48">
        <f>VLOOKUP($A141,'Página7'!$A$1:$AA$27,COLUMN(),TRUE)</f>
        <v>5177.5875</v>
      </c>
    </row>
    <row r="142">
      <c r="A142" s="34">
        <v>46631.0</v>
      </c>
      <c r="B142" s="48">
        <f>ROUND(IF(MONTH($A142)=12,2.333,1)*VLOOKUP($A142,'Página7'!$A$1:$AA$27,COLUMN(),TRUE),2)</f>
        <v>46366.19</v>
      </c>
      <c r="C142" s="48">
        <f t="shared" si="7"/>
        <v>45951.07</v>
      </c>
      <c r="D142" s="48">
        <f>ROUND(IF(MONTH($A142)=12,2.333,1)*VLOOKUP($A142,'Página7'!$A$1:$AA$27,COLUMN(),TRUE),2)</f>
        <v>41350</v>
      </c>
      <c r="E142" s="48">
        <f t="shared" si="2"/>
        <v>40473.2</v>
      </c>
      <c r="F142" s="48">
        <f t="shared" si="3"/>
        <v>24168.24</v>
      </c>
      <c r="G142" s="48">
        <f>ROUND(IF(MONTH($A142)=12,2.333,1)*VLOOKUP($A142,'Página7'!$A$1:$AA$27,COLUMN(),TRUE),2)</f>
        <v>36694</v>
      </c>
      <c r="H142" s="48">
        <f>ROUND(IF(MONTH($A142)=12,2.333,1)*VLOOKUP($A142,'Página7'!$A$1:$AA$27,COLUMN(),TRUE),2)</f>
        <v>16914.7</v>
      </c>
      <c r="I142" s="48">
        <f>ROUND(IF(MONTH($A142)=12,2.333,1)*VLOOKUP($A142,'Página7'!$A$1:$AA$27,COLUMN(),TRUE),2)</f>
        <v>28960.82</v>
      </c>
      <c r="J142" s="48">
        <f t="shared" si="8"/>
        <v>30947.21</v>
      </c>
      <c r="K142" s="48">
        <f>ROUND(IF(MONTH($A142)=12,2.333,1)*VLOOKUP($A142,'Página7'!$A$1:$AA$27,COLUMN(),TRUE),2)</f>
        <v>26015.06</v>
      </c>
      <c r="L142" s="48">
        <f t="shared" si="5"/>
        <v>26975.77</v>
      </c>
      <c r="M142" s="48">
        <f t="shared" si="6"/>
        <v>16810.44</v>
      </c>
      <c r="N142" s="48">
        <f>ROUND(IF(MONTH($A142)=12,2.333,1)*VLOOKUP($A142,'Página7'!$A$1:$AA$27,COLUMN(),TRUE),2)</f>
        <v>23280.82</v>
      </c>
      <c r="O142" s="48">
        <f>ROUND(IF(MONTH($A142)=12,2.333,1)*VLOOKUP($A142,'Página7'!$A$1:$AA$27,COLUMN(),TRUE),2)</f>
        <v>11665.43</v>
      </c>
      <c r="P142" s="48">
        <f>VLOOKUP($A142,'Página7'!$A$1:$AA$27,COLUMN(),TRUE)</f>
        <v>29761.03</v>
      </c>
      <c r="Q142" s="48">
        <f>VLOOKUP($A142,'Página7'!$A$1:$AA$27,COLUMN(),TRUE)</f>
        <v>16605.16</v>
      </c>
      <c r="R142" s="48">
        <f>VLOOKUP($A142,'Página7'!$A$1:$AA$27,COLUMN(),TRUE)</f>
        <v>29760.95</v>
      </c>
      <c r="S142" s="48">
        <f>VLOOKUP($A142,'Página7'!$A$1:$AA$27,COLUMN(),TRUE)</f>
        <v>11902.5</v>
      </c>
      <c r="T142" s="48">
        <f>VLOOKUP($A142,'Página7'!$A$1:$AA$27,COLUMN(),TRUE)</f>
        <v>17740.89</v>
      </c>
      <c r="U142" s="48">
        <f>VLOOKUP($A142,'Página7'!$A$1:$AA$27,COLUMN(),TRUE)</f>
        <v>7141.5</v>
      </c>
      <c r="V142" s="48">
        <f>VLOOKUP($A142,'Página7'!$A$1:$AA$27,COLUMN(),TRUE)</f>
        <v>19209.43475</v>
      </c>
      <c r="W142" s="48">
        <f>VLOOKUP($A142,'Página7'!$A$1:$AA$27,COLUMN(),TRUE)</f>
        <v>12038.741</v>
      </c>
      <c r="X142" s="48">
        <f>VLOOKUP($A142,'Página7'!$A$1:$AA$27,COLUMN(),TRUE)</f>
        <v>19209.39125</v>
      </c>
      <c r="Y142" s="48">
        <f>VLOOKUP($A142,'Página7'!$A$1:$AA$27,COLUMN(),TRUE)</f>
        <v>8629.3125</v>
      </c>
      <c r="Z142" s="48">
        <f>VLOOKUP($A142,'Página7'!$A$1:$AA$27,COLUMN(),TRUE)</f>
        <v>12150.61</v>
      </c>
      <c r="AA142" s="48">
        <f>VLOOKUP($A142,'Página7'!$A$1:$AA$27,COLUMN(),TRUE)</f>
        <v>5177.5875</v>
      </c>
    </row>
    <row r="143">
      <c r="A143" s="34">
        <v>46661.0</v>
      </c>
      <c r="B143" s="48">
        <f>ROUND(IF(MONTH($A143)=12,2.333,1)*VLOOKUP($A143,'Página7'!$A$1:$AA$27,COLUMN(),TRUE),2)</f>
        <v>46366.19</v>
      </c>
      <c r="C143" s="48">
        <f t="shared" si="7"/>
        <v>45951.07</v>
      </c>
      <c r="D143" s="48">
        <f>ROUND(IF(MONTH($A143)=12,2.333,1)*VLOOKUP($A143,'Página7'!$A$1:$AA$27,COLUMN(),TRUE),2)</f>
        <v>41350</v>
      </c>
      <c r="E143" s="48">
        <f t="shared" si="2"/>
        <v>40473.2</v>
      </c>
      <c r="F143" s="48">
        <f t="shared" si="3"/>
        <v>24168.24</v>
      </c>
      <c r="G143" s="48">
        <f>ROUND(IF(MONTH($A143)=12,2.333,1)*VLOOKUP($A143,'Página7'!$A$1:$AA$27,COLUMN(),TRUE),2)</f>
        <v>36694</v>
      </c>
      <c r="H143" s="48">
        <f>ROUND(IF(MONTH($A143)=12,2.333,1)*VLOOKUP($A143,'Página7'!$A$1:$AA$27,COLUMN(),TRUE),2)</f>
        <v>16914.7</v>
      </c>
      <c r="I143" s="48">
        <f>ROUND(IF(MONTH($A143)=12,2.333,1)*VLOOKUP($A143,'Página7'!$A$1:$AA$27,COLUMN(),TRUE),2)</f>
        <v>28960.82</v>
      </c>
      <c r="J143" s="48">
        <f t="shared" si="8"/>
        <v>30947.21</v>
      </c>
      <c r="K143" s="48">
        <f>ROUND(IF(MONTH($A143)=12,2.333,1)*VLOOKUP($A143,'Página7'!$A$1:$AA$27,COLUMN(),TRUE),2)</f>
        <v>26015.06</v>
      </c>
      <c r="L143" s="48">
        <f t="shared" si="5"/>
        <v>26975.77</v>
      </c>
      <c r="M143" s="48">
        <f t="shared" si="6"/>
        <v>16810.44</v>
      </c>
      <c r="N143" s="48">
        <f>ROUND(IF(MONTH($A143)=12,2.333,1)*VLOOKUP($A143,'Página7'!$A$1:$AA$27,COLUMN(),TRUE),2)</f>
        <v>23280.82</v>
      </c>
      <c r="O143" s="48">
        <f>ROUND(IF(MONTH($A143)=12,2.333,1)*VLOOKUP($A143,'Página7'!$A$1:$AA$27,COLUMN(),TRUE),2)</f>
        <v>11665.43</v>
      </c>
      <c r="P143" s="48">
        <f>VLOOKUP($A143,'Página7'!$A$1:$AA$27,COLUMN(),TRUE)</f>
        <v>29761.03</v>
      </c>
      <c r="Q143" s="48">
        <f>VLOOKUP($A143,'Página7'!$A$1:$AA$27,COLUMN(),TRUE)</f>
        <v>16605.16</v>
      </c>
      <c r="R143" s="48">
        <f>VLOOKUP($A143,'Página7'!$A$1:$AA$27,COLUMN(),TRUE)</f>
        <v>29760.95</v>
      </c>
      <c r="S143" s="48">
        <f>VLOOKUP($A143,'Página7'!$A$1:$AA$27,COLUMN(),TRUE)</f>
        <v>11902.5</v>
      </c>
      <c r="T143" s="48">
        <f>VLOOKUP($A143,'Página7'!$A$1:$AA$27,COLUMN(),TRUE)</f>
        <v>17740.89</v>
      </c>
      <c r="U143" s="48">
        <f>VLOOKUP($A143,'Página7'!$A$1:$AA$27,COLUMN(),TRUE)</f>
        <v>7141.5</v>
      </c>
      <c r="V143" s="48">
        <f>VLOOKUP($A143,'Página7'!$A$1:$AA$27,COLUMN(),TRUE)</f>
        <v>19209.43475</v>
      </c>
      <c r="W143" s="48">
        <f>VLOOKUP($A143,'Página7'!$A$1:$AA$27,COLUMN(),TRUE)</f>
        <v>12038.741</v>
      </c>
      <c r="X143" s="48">
        <f>VLOOKUP($A143,'Página7'!$A$1:$AA$27,COLUMN(),TRUE)</f>
        <v>19209.39125</v>
      </c>
      <c r="Y143" s="48">
        <f>VLOOKUP($A143,'Página7'!$A$1:$AA$27,COLUMN(),TRUE)</f>
        <v>8629.3125</v>
      </c>
      <c r="Z143" s="48">
        <f>VLOOKUP($A143,'Página7'!$A$1:$AA$27,COLUMN(),TRUE)</f>
        <v>12150.61</v>
      </c>
      <c r="AA143" s="48">
        <f>VLOOKUP($A143,'Página7'!$A$1:$AA$27,COLUMN(),TRUE)</f>
        <v>5177.5875</v>
      </c>
    </row>
    <row r="144">
      <c r="A144" s="34">
        <v>46692.0</v>
      </c>
      <c r="B144" s="48">
        <f>ROUND(IF(MONTH($A144)=12,2.333,1)*VLOOKUP($A144,'Página7'!$A$1:$AA$27,COLUMN(),TRUE),2)</f>
        <v>46366.19</v>
      </c>
      <c r="C144" s="48">
        <f t="shared" si="7"/>
        <v>45951.07</v>
      </c>
      <c r="D144" s="48">
        <f>ROUND(IF(MONTH($A144)=12,2.333,1)*VLOOKUP($A144,'Página7'!$A$1:$AA$27,COLUMN(),TRUE),2)</f>
        <v>41350</v>
      </c>
      <c r="E144" s="48">
        <f t="shared" si="2"/>
        <v>40473.2</v>
      </c>
      <c r="F144" s="48">
        <f t="shared" si="3"/>
        <v>24168.24</v>
      </c>
      <c r="G144" s="48">
        <f>ROUND(IF(MONTH($A144)=12,2.333,1)*VLOOKUP($A144,'Página7'!$A$1:$AA$27,COLUMN(),TRUE),2)</f>
        <v>36694</v>
      </c>
      <c r="H144" s="48">
        <f>ROUND(IF(MONTH($A144)=12,2.333,1)*VLOOKUP($A144,'Página7'!$A$1:$AA$27,COLUMN(),TRUE),2)</f>
        <v>16914.7</v>
      </c>
      <c r="I144" s="48">
        <f>ROUND(IF(MONTH($A144)=12,2.333,1)*VLOOKUP($A144,'Página7'!$A$1:$AA$27,COLUMN(),TRUE),2)</f>
        <v>28960.82</v>
      </c>
      <c r="J144" s="48">
        <f t="shared" si="8"/>
        <v>30947.21</v>
      </c>
      <c r="K144" s="48">
        <f>ROUND(IF(MONTH($A144)=12,2.333,1)*VLOOKUP($A144,'Página7'!$A$1:$AA$27,COLUMN(),TRUE),2)</f>
        <v>26015.06</v>
      </c>
      <c r="L144" s="48">
        <f t="shared" si="5"/>
        <v>26975.77</v>
      </c>
      <c r="M144" s="48">
        <f t="shared" si="6"/>
        <v>16810.44</v>
      </c>
      <c r="N144" s="48">
        <f>ROUND(IF(MONTH($A144)=12,2.333,1)*VLOOKUP($A144,'Página7'!$A$1:$AA$27,COLUMN(),TRUE),2)</f>
        <v>23280.82</v>
      </c>
      <c r="O144" s="48">
        <f>ROUND(IF(MONTH($A144)=12,2.333,1)*VLOOKUP($A144,'Página7'!$A$1:$AA$27,COLUMN(),TRUE),2)</f>
        <v>11665.43</v>
      </c>
      <c r="P144" s="48">
        <f>VLOOKUP($A144,'Página7'!$A$1:$AA$27,COLUMN(),TRUE)</f>
        <v>29761.03</v>
      </c>
      <c r="Q144" s="48">
        <f>VLOOKUP($A144,'Página7'!$A$1:$AA$27,COLUMN(),TRUE)</f>
        <v>16605.16</v>
      </c>
      <c r="R144" s="48">
        <f>VLOOKUP($A144,'Página7'!$A$1:$AA$27,COLUMN(),TRUE)</f>
        <v>29760.95</v>
      </c>
      <c r="S144" s="48">
        <f>VLOOKUP($A144,'Página7'!$A$1:$AA$27,COLUMN(),TRUE)</f>
        <v>11902.5</v>
      </c>
      <c r="T144" s="48">
        <f>VLOOKUP($A144,'Página7'!$A$1:$AA$27,COLUMN(),TRUE)</f>
        <v>17740.89</v>
      </c>
      <c r="U144" s="48">
        <f>VLOOKUP($A144,'Página7'!$A$1:$AA$27,COLUMN(),TRUE)</f>
        <v>7141.5</v>
      </c>
      <c r="V144" s="48">
        <f>VLOOKUP($A144,'Página7'!$A$1:$AA$27,COLUMN(),TRUE)</f>
        <v>19209.43475</v>
      </c>
      <c r="W144" s="48">
        <f>VLOOKUP($A144,'Página7'!$A$1:$AA$27,COLUMN(),TRUE)</f>
        <v>12038.741</v>
      </c>
      <c r="X144" s="48">
        <f>VLOOKUP($A144,'Página7'!$A$1:$AA$27,COLUMN(),TRUE)</f>
        <v>19209.39125</v>
      </c>
      <c r="Y144" s="48">
        <f>VLOOKUP($A144,'Página7'!$A$1:$AA$27,COLUMN(),TRUE)</f>
        <v>8629.3125</v>
      </c>
      <c r="Z144" s="48">
        <f>VLOOKUP($A144,'Página7'!$A$1:$AA$27,COLUMN(),TRUE)</f>
        <v>12150.61</v>
      </c>
      <c r="AA144" s="48">
        <f>VLOOKUP($A144,'Página7'!$A$1:$AA$27,COLUMN(),TRUE)</f>
        <v>5177.5875</v>
      </c>
    </row>
    <row r="145">
      <c r="A145" s="34">
        <v>46722.0</v>
      </c>
      <c r="B145" s="48">
        <f>ROUND(IF(MONTH($A145)=12,2.333,1)*VLOOKUP($A145,'Página7'!$A$1:$AA$27,COLUMN(),TRUE),2)</f>
        <v>108172.32</v>
      </c>
      <c r="C145" s="48">
        <f t="shared" si="7"/>
        <v>107203.85</v>
      </c>
      <c r="D145" s="48">
        <f>ROUND(IF(MONTH($A145)=12,2.333,1)*VLOOKUP($A145,'Página7'!$A$1:$AA$27,COLUMN(),TRUE),2)</f>
        <v>96469.55</v>
      </c>
      <c r="E145" s="48">
        <f t="shared" si="2"/>
        <v>94423.98</v>
      </c>
      <c r="F145" s="48">
        <f t="shared" si="3"/>
        <v>56384.5</v>
      </c>
      <c r="G145" s="48">
        <f>ROUND(IF(MONTH($A145)=12,2.333,1)*VLOOKUP($A145,'Página7'!$A$1:$AA$27,COLUMN(),TRUE),2)</f>
        <v>85607.1</v>
      </c>
      <c r="H145" s="48">
        <f>ROUND(IF(MONTH($A145)=12,2.333,1)*VLOOKUP($A145,'Página7'!$A$1:$AA$27,COLUMN(),TRUE),2)</f>
        <v>39462</v>
      </c>
      <c r="I145" s="48">
        <f>ROUND(IF(MONTH($A145)=12,2.333,1)*VLOOKUP($A145,'Página7'!$A$1:$AA$27,COLUMN(),TRUE),2)</f>
        <v>67565.58</v>
      </c>
      <c r="J145" s="48">
        <f t="shared" si="8"/>
        <v>72199.85</v>
      </c>
      <c r="K145" s="48">
        <f>ROUND(IF(MONTH($A145)=12,2.333,1)*VLOOKUP($A145,'Página7'!$A$1:$AA$27,COLUMN(),TRUE),2)</f>
        <v>60693.14</v>
      </c>
      <c r="L145" s="48">
        <f t="shared" si="5"/>
        <v>62934.47</v>
      </c>
      <c r="M145" s="48">
        <f t="shared" si="6"/>
        <v>39218.76</v>
      </c>
      <c r="N145" s="48">
        <f>ROUND(IF(MONTH($A145)=12,2.333,1)*VLOOKUP($A145,'Página7'!$A$1:$AA$27,COLUMN(),TRUE),2)</f>
        <v>54314.16</v>
      </c>
      <c r="O145" s="48">
        <f>ROUND(IF(MONTH($A145)=12,2.333,1)*VLOOKUP($A145,'Página7'!$A$1:$AA$27,COLUMN(),TRUE),2)</f>
        <v>27215.45</v>
      </c>
      <c r="P145" s="48">
        <f>VLOOKUP($A145,'Página7'!$A$1:$AA$27,COLUMN(),TRUE)</f>
        <v>29761.03</v>
      </c>
      <c r="Q145" s="48">
        <f>VLOOKUP($A145,'Página7'!$A$1:$AA$27,COLUMN(),TRUE)</f>
        <v>16605.16</v>
      </c>
      <c r="R145" s="48">
        <f>VLOOKUP($A145,'Página7'!$A$1:$AA$27,COLUMN(),TRUE)</f>
        <v>29760.95</v>
      </c>
      <c r="S145" s="48">
        <f>VLOOKUP($A145,'Página7'!$A$1:$AA$27,COLUMN(),TRUE)</f>
        <v>11902.5</v>
      </c>
      <c r="T145" s="48">
        <f>VLOOKUP($A145,'Página7'!$A$1:$AA$27,COLUMN(),TRUE)</f>
        <v>17740.89</v>
      </c>
      <c r="U145" s="48">
        <f>VLOOKUP($A145,'Página7'!$A$1:$AA$27,COLUMN(),TRUE)</f>
        <v>7141.5</v>
      </c>
      <c r="V145" s="48">
        <f>VLOOKUP($A145,'Página7'!$A$1:$AA$27,COLUMN(),TRUE)</f>
        <v>19209.43475</v>
      </c>
      <c r="W145" s="48">
        <f>VLOOKUP($A145,'Página7'!$A$1:$AA$27,COLUMN(),TRUE)</f>
        <v>12038.741</v>
      </c>
      <c r="X145" s="48">
        <f>VLOOKUP($A145,'Página7'!$A$1:$AA$27,COLUMN(),TRUE)</f>
        <v>19209.39125</v>
      </c>
      <c r="Y145" s="48">
        <f>VLOOKUP($A145,'Página7'!$A$1:$AA$27,COLUMN(),TRUE)</f>
        <v>8629.3125</v>
      </c>
      <c r="Z145" s="48">
        <f>VLOOKUP($A145,'Página7'!$A$1:$AA$27,COLUMN(),TRUE)</f>
        <v>12150.61</v>
      </c>
      <c r="AA145" s="48">
        <f>VLOOKUP($A145,'Página7'!$A$1:$AA$27,COLUMN(),TRUE)</f>
        <v>5177.5875</v>
      </c>
    </row>
  </sheetData>
  <drawing r:id="rId1"/>
</worksheet>
</file>